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chris\Documents\V - My Sports\Bike\0000 Radstrecken\tour 001-120\"/>
    </mc:Choice>
  </mc:AlternateContent>
  <xr:revisionPtr revIDLastSave="0" documentId="8_{89132298-CC71-4DF2-9400-23BA0629ED8F}" xr6:coauthVersionLast="47" xr6:coauthVersionMax="47" xr10:uidLastSave="{00000000-0000-0000-0000-000000000000}"/>
  <bookViews>
    <workbookView xWindow="-110" yWindow="-110" windowWidth="19420" windowHeight="10420" xr2:uid="{3D7B742B-37DA-40BB-A185-68E8573F3865}"/>
  </bookViews>
  <sheets>
    <sheet name="Tabelle1" sheetId="1" r:id="rId1"/>
    <sheet name="Tabelle2" sheetId="2" r:id="rId2"/>
    <sheet name="Tabelle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 l="1"/>
  <c r="H4" i="1" s="1"/>
  <c r="K4" i="1"/>
  <c r="L4" i="1"/>
  <c r="O4" i="1"/>
  <c r="O5" i="1" s="1"/>
  <c r="O6" i="1" s="1"/>
  <c r="O7" i="1" s="1"/>
  <c r="O8" i="1" s="1"/>
  <c r="O9" i="1" s="1"/>
  <c r="O10" i="1" s="1"/>
  <c r="O11" i="1" s="1"/>
  <c r="O12" i="1" s="1"/>
  <c r="O13" i="1" s="1"/>
  <c r="O14" i="1" s="1"/>
  <c r="O15" i="1" s="1"/>
  <c r="O16" i="1" s="1"/>
  <c r="O17" i="1" s="1"/>
  <c r="O18" i="1" s="1"/>
  <c r="O19" i="1" s="1"/>
  <c r="O20" i="1" s="1"/>
  <c r="O21" i="1" s="1"/>
  <c r="O22" i="1" s="1"/>
  <c r="O23" i="1" s="1"/>
  <c r="O24" i="1" s="1"/>
  <c r="O25" i="1" s="1"/>
  <c r="O26" i="1" s="1"/>
  <c r="O27" i="1" s="1"/>
  <c r="O28" i="1" s="1"/>
  <c r="O29" i="1" s="1"/>
  <c r="P4" i="1"/>
  <c r="P30" i="1" s="1"/>
  <c r="Q4" i="1"/>
  <c r="R4" i="1" s="1"/>
  <c r="R5" i="1" s="1"/>
  <c r="R6" i="1" s="1"/>
  <c r="R7" i="1" s="1"/>
  <c r="R8" i="1" s="1"/>
  <c r="R9" i="1" s="1"/>
  <c r="R10" i="1" s="1"/>
  <c r="U4" i="1"/>
  <c r="W4" i="1"/>
  <c r="X4" i="1"/>
  <c r="Y4" i="1"/>
  <c r="Y5" i="1" s="1"/>
  <c r="Y6" i="1" s="1"/>
  <c r="Y7" i="1" s="1"/>
  <c r="Y8" i="1" s="1"/>
  <c r="Y9" i="1" s="1"/>
  <c r="Y10" i="1" s="1"/>
  <c r="Y11" i="1" s="1"/>
  <c r="Y12" i="1" s="1"/>
  <c r="Y13" i="1" s="1"/>
  <c r="Y14" i="1" s="1"/>
  <c r="Y15" i="1" s="1"/>
  <c r="Y16" i="1" s="1"/>
  <c r="Y17" i="1" s="1"/>
  <c r="Y18" i="1" s="1"/>
  <c r="Y19" i="1" s="1"/>
  <c r="Y20" i="1" s="1"/>
  <c r="Y21" i="1" s="1"/>
  <c r="Y22" i="1" s="1"/>
  <c r="Y23" i="1" s="1"/>
  <c r="Y24" i="1" s="1"/>
  <c r="Y25" i="1" s="1"/>
  <c r="Y26" i="1" s="1"/>
  <c r="Y27" i="1" s="1"/>
  <c r="Y28" i="1" s="1"/>
  <c r="Y29" i="1" s="1"/>
  <c r="Y30" i="1" s="1"/>
  <c r="Z4" i="1"/>
  <c r="AH4" i="1"/>
  <c r="AH30" i="1" s="1"/>
  <c r="G5" i="1"/>
  <c r="H5" i="1" s="1"/>
  <c r="K5" i="1"/>
  <c r="L5" i="1"/>
  <c r="P5" i="1"/>
  <c r="Q5" i="1"/>
  <c r="U5" i="1"/>
  <c r="W5" i="1"/>
  <c r="X5" i="1"/>
  <c r="Z5" i="1"/>
  <c r="AH5" i="1"/>
  <c r="K6" i="1"/>
  <c r="L6" i="1"/>
  <c r="P6" i="1"/>
  <c r="Q6" i="1"/>
  <c r="U6" i="1"/>
  <c r="U30" i="1" s="1"/>
  <c r="W6" i="1"/>
  <c r="X6" i="1"/>
  <c r="Z6" i="1"/>
  <c r="AH6" i="1"/>
  <c r="K7" i="1"/>
  <c r="L7" i="1"/>
  <c r="P7" i="1"/>
  <c r="Q7" i="1"/>
  <c r="U7" i="1"/>
  <c r="W7" i="1"/>
  <c r="W8" i="1" s="1"/>
  <c r="W9" i="1" s="1"/>
  <c r="W10" i="1" s="1"/>
  <c r="W11" i="1" s="1"/>
  <c r="W12" i="1" s="1"/>
  <c r="W13" i="1" s="1"/>
  <c r="W14" i="1" s="1"/>
  <c r="W15" i="1" s="1"/>
  <c r="W16" i="1" s="1"/>
  <c r="W17" i="1" s="1"/>
  <c r="W18" i="1" s="1"/>
  <c r="W19" i="1" s="1"/>
  <c r="W20" i="1" s="1"/>
  <c r="W21" i="1" s="1"/>
  <c r="W22" i="1" s="1"/>
  <c r="W23" i="1" s="1"/>
  <c r="W24" i="1" s="1"/>
  <c r="W25" i="1" s="1"/>
  <c r="W26" i="1" s="1"/>
  <c r="W27" i="1" s="1"/>
  <c r="W28" i="1" s="1"/>
  <c r="W29" i="1" s="1"/>
  <c r="W30" i="1" s="1"/>
  <c r="X7" i="1"/>
  <c r="Z7" i="1" s="1"/>
  <c r="AH7" i="1"/>
  <c r="K8" i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L8" i="1"/>
  <c r="P8" i="1"/>
  <c r="Q8" i="1"/>
  <c r="U8" i="1"/>
  <c r="X8" i="1"/>
  <c r="Z8" i="1" s="1"/>
  <c r="AH8" i="1"/>
  <c r="L9" i="1"/>
  <c r="L30" i="1" s="1"/>
  <c r="P9" i="1"/>
  <c r="Q9" i="1"/>
  <c r="U9" i="1"/>
  <c r="X9" i="1"/>
  <c r="Z9" i="1" s="1"/>
  <c r="AH9" i="1"/>
  <c r="L10" i="1"/>
  <c r="P10" i="1"/>
  <c r="Q10" i="1"/>
  <c r="U10" i="1"/>
  <c r="X10" i="1"/>
  <c r="Z10" i="1"/>
  <c r="AH10" i="1"/>
  <c r="L11" i="1"/>
  <c r="P11" i="1"/>
  <c r="Q11" i="1"/>
  <c r="U11" i="1"/>
  <c r="X11" i="1"/>
  <c r="Z11" i="1"/>
  <c r="AH11" i="1"/>
  <c r="L12" i="1"/>
  <c r="P12" i="1"/>
  <c r="Q12" i="1"/>
  <c r="U12" i="1"/>
  <c r="X12" i="1"/>
  <c r="Z12" i="1"/>
  <c r="AH12" i="1"/>
  <c r="L13" i="1"/>
  <c r="P13" i="1"/>
  <c r="Q13" i="1"/>
  <c r="U13" i="1"/>
  <c r="X13" i="1"/>
  <c r="Z13" i="1"/>
  <c r="AH13" i="1"/>
  <c r="L14" i="1"/>
  <c r="P14" i="1"/>
  <c r="Q14" i="1"/>
  <c r="U14" i="1"/>
  <c r="X14" i="1"/>
  <c r="Z14" i="1"/>
  <c r="AH14" i="1"/>
  <c r="L15" i="1"/>
  <c r="P15" i="1"/>
  <c r="Q15" i="1"/>
  <c r="U15" i="1"/>
  <c r="X15" i="1"/>
  <c r="Z15" i="1" s="1"/>
  <c r="AH15" i="1"/>
  <c r="L16" i="1"/>
  <c r="P16" i="1"/>
  <c r="Q16" i="1"/>
  <c r="U16" i="1"/>
  <c r="X16" i="1"/>
  <c r="Z16" i="1" s="1"/>
  <c r="AH16" i="1"/>
  <c r="L17" i="1"/>
  <c r="P17" i="1"/>
  <c r="Q17" i="1"/>
  <c r="U17" i="1"/>
  <c r="X17" i="1"/>
  <c r="Z17" i="1" s="1"/>
  <c r="AH17" i="1"/>
  <c r="L18" i="1"/>
  <c r="P18" i="1"/>
  <c r="Q18" i="1"/>
  <c r="U18" i="1"/>
  <c r="X18" i="1"/>
  <c r="Z18" i="1"/>
  <c r="AH18" i="1"/>
  <c r="L19" i="1"/>
  <c r="P19" i="1"/>
  <c r="Q19" i="1"/>
  <c r="U19" i="1"/>
  <c r="X19" i="1"/>
  <c r="Z19" i="1"/>
  <c r="AH19" i="1"/>
  <c r="L20" i="1"/>
  <c r="P20" i="1"/>
  <c r="Q20" i="1"/>
  <c r="U20" i="1"/>
  <c r="X20" i="1"/>
  <c r="Z20" i="1"/>
  <c r="AH20" i="1"/>
  <c r="L21" i="1"/>
  <c r="P21" i="1"/>
  <c r="Q21" i="1"/>
  <c r="U21" i="1"/>
  <c r="X21" i="1"/>
  <c r="Z21" i="1"/>
  <c r="AH21" i="1"/>
  <c r="L22" i="1"/>
  <c r="P22" i="1"/>
  <c r="Q22" i="1"/>
  <c r="U22" i="1"/>
  <c r="X22" i="1"/>
  <c r="Z22" i="1"/>
  <c r="AH22" i="1"/>
  <c r="L23" i="1"/>
  <c r="P23" i="1"/>
  <c r="Q23" i="1"/>
  <c r="U23" i="1"/>
  <c r="X23" i="1"/>
  <c r="Z23" i="1" s="1"/>
  <c r="AH23" i="1"/>
  <c r="L24" i="1"/>
  <c r="P24" i="1"/>
  <c r="Q24" i="1"/>
  <c r="U24" i="1"/>
  <c r="X24" i="1"/>
  <c r="Z24" i="1" s="1"/>
  <c r="AH24" i="1"/>
  <c r="L25" i="1"/>
  <c r="P25" i="1"/>
  <c r="Q25" i="1"/>
  <c r="U25" i="1"/>
  <c r="X25" i="1"/>
  <c r="Z25" i="1" s="1"/>
  <c r="AH25" i="1"/>
  <c r="L26" i="1"/>
  <c r="P26" i="1"/>
  <c r="Q26" i="1"/>
  <c r="U26" i="1"/>
  <c r="X26" i="1"/>
  <c r="Z26" i="1"/>
  <c r="AH26" i="1"/>
  <c r="L27" i="1"/>
  <c r="P27" i="1"/>
  <c r="Q27" i="1"/>
  <c r="U27" i="1"/>
  <c r="X27" i="1"/>
  <c r="Z27" i="1"/>
  <c r="AH27" i="1"/>
  <c r="L28" i="1"/>
  <c r="P28" i="1"/>
  <c r="Q28" i="1"/>
  <c r="U28" i="1"/>
  <c r="X28" i="1"/>
  <c r="Z28" i="1"/>
  <c r="AH28" i="1"/>
  <c r="L29" i="1"/>
  <c r="P29" i="1"/>
  <c r="Q29" i="1"/>
  <c r="U29" i="1"/>
  <c r="X29" i="1"/>
  <c r="Z29" i="1"/>
  <c r="AH29" i="1"/>
  <c r="F30" i="1"/>
  <c r="K30" i="1" s="1"/>
  <c r="J30" i="1"/>
  <c r="M30" i="1"/>
  <c r="N30" i="1"/>
  <c r="O30" i="1"/>
  <c r="S30" i="1"/>
  <c r="T30" i="1"/>
  <c r="V30" i="1"/>
  <c r="X30" i="1"/>
  <c r="AA30" i="1"/>
  <c r="AB30" i="1"/>
  <c r="AC30" i="1"/>
  <c r="AD30" i="1"/>
  <c r="AE30" i="1"/>
  <c r="AF30" i="1"/>
  <c r="AG30" i="1"/>
  <c r="Z30" i="1" l="1"/>
  <c r="R11" i="1"/>
  <c r="R12" i="1" s="1"/>
  <c r="R13" i="1" s="1"/>
  <c r="R14" i="1" s="1"/>
  <c r="R15" i="1" s="1"/>
  <c r="R16" i="1" s="1"/>
  <c r="R17" i="1" s="1"/>
  <c r="R18" i="1" s="1"/>
  <c r="R19" i="1" s="1"/>
  <c r="R20" i="1" s="1"/>
  <c r="R21" i="1" s="1"/>
  <c r="R22" i="1" s="1"/>
  <c r="R23" i="1" s="1"/>
  <c r="R24" i="1" s="1"/>
  <c r="R25" i="1" s="1"/>
  <c r="R26" i="1" s="1"/>
  <c r="R27" i="1" s="1"/>
  <c r="R28" i="1" s="1"/>
  <c r="R29" i="1" s="1"/>
  <c r="I4" i="1"/>
  <c r="Q30" i="1"/>
  <c r="I5" i="1"/>
  <c r="G6" i="1"/>
  <c r="I6" i="1" l="1"/>
  <c r="H6" i="1"/>
  <c r="G7" i="1"/>
  <c r="G8" i="1" l="1"/>
  <c r="H7" i="1"/>
  <c r="I7" i="1"/>
  <c r="H8" i="1" l="1"/>
  <c r="I8" i="1"/>
  <c r="G9" i="1"/>
  <c r="H9" i="1" l="1"/>
  <c r="I9" i="1"/>
  <c r="G10" i="1"/>
  <c r="G11" i="1" l="1"/>
  <c r="I10" i="1"/>
  <c r="H10" i="1"/>
  <c r="G12" i="1" l="1"/>
  <c r="H11" i="1"/>
  <c r="I11" i="1"/>
  <c r="H12" i="1" l="1"/>
  <c r="I12" i="1"/>
  <c r="G13" i="1"/>
  <c r="H13" i="1" l="1"/>
  <c r="I13" i="1"/>
  <c r="G14" i="1"/>
  <c r="I14" i="1" l="1"/>
  <c r="G15" i="1"/>
  <c r="H14" i="1"/>
  <c r="G16" i="1" l="1"/>
  <c r="I15" i="1"/>
  <c r="H15" i="1"/>
  <c r="H16" i="1" l="1"/>
  <c r="G17" i="1"/>
  <c r="I16" i="1"/>
  <c r="G18" i="1" l="1"/>
  <c r="H17" i="1"/>
  <c r="I17" i="1"/>
  <c r="G19" i="1" l="1"/>
  <c r="H18" i="1"/>
  <c r="I18" i="1"/>
  <c r="G20" i="1" l="1"/>
  <c r="H19" i="1"/>
  <c r="I19" i="1"/>
  <c r="H20" i="1" l="1"/>
  <c r="I20" i="1"/>
  <c r="G21" i="1"/>
  <c r="H21" i="1" l="1"/>
  <c r="I21" i="1"/>
  <c r="G22" i="1"/>
  <c r="I22" i="1" l="1"/>
  <c r="G23" i="1"/>
  <c r="H22" i="1"/>
  <c r="H23" i="1" l="1"/>
  <c r="G24" i="1"/>
  <c r="I23" i="1"/>
  <c r="H24" i="1" l="1"/>
  <c r="I24" i="1"/>
  <c r="G25" i="1"/>
  <c r="I25" i="1" l="1"/>
  <c r="G26" i="1"/>
  <c r="H25" i="1"/>
  <c r="G27" i="1" l="1"/>
  <c r="I26" i="1"/>
  <c r="H26" i="1"/>
  <c r="G28" i="1" l="1"/>
  <c r="H27" i="1"/>
  <c r="I27" i="1"/>
  <c r="H28" i="1" l="1"/>
  <c r="I28" i="1"/>
  <c r="G29" i="1"/>
  <c r="H29" i="1" l="1"/>
  <c r="H30" i="1" s="1"/>
  <c r="I29" i="1"/>
  <c r="I30" i="1" s="1"/>
  <c r="G30" i="1"/>
</calcChain>
</file>

<file path=xl/sharedStrings.xml><?xml version="1.0" encoding="utf-8"?>
<sst xmlns="http://schemas.openxmlformats.org/spreadsheetml/2006/main" count="137" uniqueCount="112">
  <si>
    <t>Tag</t>
  </si>
  <si>
    <t>Datum</t>
  </si>
  <si>
    <t>Start</t>
  </si>
  <si>
    <t>Zwischenstationen</t>
  </si>
  <si>
    <t>Ziel</t>
  </si>
  <si>
    <t>10.</t>
  </si>
  <si>
    <t>Summe</t>
  </si>
  <si>
    <t>11.</t>
  </si>
  <si>
    <t>Fahrzeit</t>
  </si>
  <si>
    <t>Höhe Beginn</t>
  </si>
  <si>
    <t>Höhe Ende</t>
  </si>
  <si>
    <t>Max. Höhe</t>
  </si>
  <si>
    <t>Hm aufw</t>
  </si>
  <si>
    <t>Hm abw</t>
  </si>
  <si>
    <t>Gesamtzeit</t>
  </si>
  <si>
    <t>Pausenzeit</t>
  </si>
  <si>
    <t>Max.Temp.</t>
  </si>
  <si>
    <t xml:space="preserve">Min.Temp. </t>
  </si>
  <si>
    <t>Ø Steigung</t>
  </si>
  <si>
    <t>max.Steigung</t>
  </si>
  <si>
    <t>Ø Gefälle</t>
  </si>
  <si>
    <t>max.Gefälle</t>
  </si>
  <si>
    <t>km</t>
  </si>
  <si>
    <t>km/Tag</t>
  </si>
  <si>
    <t>km/Fahrtag</t>
  </si>
  <si>
    <t>max. km/h</t>
  </si>
  <si>
    <t>Σ km</t>
  </si>
  <si>
    <t>Σ Hm aufw</t>
  </si>
  <si>
    <t>Δ Temp.</t>
  </si>
  <si>
    <t>Σ Hm abw</t>
  </si>
  <si>
    <t>Δ Hmauf-abw</t>
  </si>
  <si>
    <t>Δ Beg./Ende</t>
  </si>
  <si>
    <t>Σ Fahrzeit</t>
  </si>
  <si>
    <t>Σ Gesamtzeit</t>
  </si>
  <si>
    <t>Σ Pausenzeit</t>
  </si>
  <si>
    <t>12.</t>
  </si>
  <si>
    <t>13.</t>
  </si>
  <si>
    <t>14.</t>
  </si>
  <si>
    <t>15.</t>
  </si>
  <si>
    <t>16.</t>
  </si>
  <si>
    <t>17.</t>
  </si>
  <si>
    <t>18.</t>
  </si>
  <si>
    <t>19.</t>
  </si>
  <si>
    <t>km/h brutto</t>
  </si>
  <si>
    <t>km/h netto</t>
  </si>
  <si>
    <t>20.</t>
  </si>
  <si>
    <t>21.</t>
  </si>
  <si>
    <t>22.</t>
  </si>
  <si>
    <t>23.</t>
  </si>
  <si>
    <t>24.</t>
  </si>
  <si>
    <t>25.</t>
  </si>
  <si>
    <t>26.</t>
  </si>
  <si>
    <t>01.</t>
  </si>
  <si>
    <t>02.</t>
  </si>
  <si>
    <t>03.</t>
  </si>
  <si>
    <t>04.</t>
  </si>
  <si>
    <t>05.</t>
  </si>
  <si>
    <t>06.</t>
  </si>
  <si>
    <t>07.</t>
  </si>
  <si>
    <t>08.</t>
  </si>
  <si>
    <t>09.</t>
  </si>
  <si>
    <t>Mainz - Kopenhagen - Helsingborg - Nordkap - Lofoten (23.6.-18.7.2001)</t>
  </si>
  <si>
    <r>
      <t>Statistik</t>
    </r>
    <r>
      <rPr>
        <b/>
        <sz val="20"/>
        <rFont val="Arial"/>
        <family val="2"/>
      </rPr>
      <t xml:space="preserve"> Mainz - Kopenhagen - Helsingborg - Nordkap - Lofoten (23.6.-18.7.2001)</t>
    </r>
  </si>
  <si>
    <t>Mainz</t>
  </si>
  <si>
    <t>Idstein - Grävenwiesbach - Gießen - Marburg</t>
  </si>
  <si>
    <t>Gilserberg</t>
  </si>
  <si>
    <t>Northeim</t>
  </si>
  <si>
    <t>Salzgitter - Zweigkanal - Mittellandkanal - Elbeseitenkanal</t>
  </si>
  <si>
    <t>Uelzen</t>
  </si>
  <si>
    <t>Elbeseitenkanal - Elbe - Lübeckelbekanal - Lübeck</t>
  </si>
  <si>
    <t>Scharbeutz</t>
  </si>
  <si>
    <t>Grömitz - Burg auf Fehmarn - Puttgarden - Fähre - Rodbyhavn</t>
  </si>
  <si>
    <t>Vordingburg</t>
  </si>
  <si>
    <t>Kopenhagen - Helsingör - Fähre</t>
  </si>
  <si>
    <t>Helsingborg</t>
  </si>
  <si>
    <t>Värnamo</t>
  </si>
  <si>
    <t>Jönköping</t>
  </si>
  <si>
    <t>Hjo</t>
  </si>
  <si>
    <t>Askersund</t>
  </si>
  <si>
    <t>Nora</t>
  </si>
  <si>
    <t>Björsjö - Ludvika</t>
  </si>
  <si>
    <t>Falun</t>
  </si>
  <si>
    <t>Sundborn - Edsbyn - Färila</t>
  </si>
  <si>
    <t>Hovra</t>
  </si>
  <si>
    <t>Karböle - Ytterhogdal</t>
  </si>
  <si>
    <t>Östersund</t>
  </si>
  <si>
    <t>Strömsund</t>
  </si>
  <si>
    <t>Dorotea</t>
  </si>
  <si>
    <t>Vilhelmina - Storuman</t>
  </si>
  <si>
    <t>Sorsele</t>
  </si>
  <si>
    <t>Arvidsjaur</t>
  </si>
  <si>
    <t>Kabdalis</t>
  </si>
  <si>
    <t>Jokkmokk - Porjus</t>
  </si>
  <si>
    <t>Gällivare</t>
  </si>
  <si>
    <t>Vittangi</t>
  </si>
  <si>
    <t>Karesuando</t>
  </si>
  <si>
    <t>Enontekiö</t>
  </si>
  <si>
    <t>Kautokeino</t>
  </si>
  <si>
    <t>Alta</t>
  </si>
  <si>
    <t>Skaidi - Olderfjord</t>
  </si>
  <si>
    <t>Sarnes</t>
  </si>
  <si>
    <t>Honningsvag</t>
  </si>
  <si>
    <t>Nordkap</t>
  </si>
  <si>
    <t>Soerkjosen</t>
  </si>
  <si>
    <t>Olderdalen - Fähre - Lyngseidet</t>
  </si>
  <si>
    <t>Bardufoss</t>
  </si>
  <si>
    <t>Narvik</t>
  </si>
  <si>
    <t>Skarberget - Fähre - Bognes - Skutvik - Fähre - Svolvaer</t>
  </si>
  <si>
    <t>Kabelvag</t>
  </si>
  <si>
    <t>Valberg</t>
  </si>
  <si>
    <t>Å i Lofoten</t>
  </si>
  <si>
    <t>Wabern - Kassel - Hann. Münden - Göttingen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</si>
</sst>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7" formatCode="[h]:mm"/>
    <numFmt numFmtId="180" formatCode="0.0"/>
  </numFmts>
  <fonts count="10">
    <font>
      <sz val="10"/>
      <name val="Arial"/>
    </font>
    <font>
      <b/>
      <sz val="10"/>
      <name val="Arial"/>
      <family val="2"/>
    </font>
    <font>
      <b/>
      <i/>
      <sz val="10"/>
      <name val="Arial"/>
      <family val="2"/>
    </font>
    <font>
      <b/>
      <sz val="20"/>
      <name val="Arial"/>
      <family val="2"/>
    </font>
    <font>
      <sz val="10"/>
      <name val="Arial"/>
      <family val="2"/>
    </font>
    <font>
      <b/>
      <sz val="9"/>
      <name val="Times New Roman"/>
      <family val="1"/>
    </font>
    <font>
      <b/>
      <sz val="8"/>
      <name val="Times New Roman"/>
      <family val="1"/>
    </font>
    <font>
      <b/>
      <sz val="9"/>
      <name val="WP CyrillicA"/>
    </font>
    <font>
      <i/>
      <sz val="10"/>
      <name val="Arial"/>
      <family val="2"/>
    </font>
    <font>
      <b/>
      <i/>
      <sz val="2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right" wrapText="1"/>
    </xf>
    <xf numFmtId="0" fontId="4" fillId="0" borderId="1" xfId="0" applyFont="1" applyBorder="1" applyAlignment="1">
      <alignment horizontal="center" wrapText="1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6" fillId="0" borderId="0" xfId="0" applyFont="1" applyBorder="1" applyAlignment="1">
      <alignment wrapText="1"/>
    </xf>
    <xf numFmtId="0" fontId="7" fillId="0" borderId="0" xfId="0" applyFont="1" applyBorder="1" applyAlignment="1">
      <alignment wrapText="1"/>
    </xf>
    <xf numFmtId="0" fontId="0" fillId="0" borderId="0" xfId="0" applyBorder="1"/>
    <xf numFmtId="21" fontId="5" fillId="0" borderId="0" xfId="0" applyNumberFormat="1" applyFont="1" applyBorder="1" applyAlignment="1">
      <alignment vertical="top" wrapText="1"/>
    </xf>
    <xf numFmtId="0" fontId="0" fillId="0" borderId="2" xfId="0" applyBorder="1"/>
    <xf numFmtId="0" fontId="0" fillId="0" borderId="3" xfId="0" applyBorder="1"/>
    <xf numFmtId="0" fontId="8" fillId="0" borderId="3" xfId="0" applyFont="1" applyBorder="1"/>
    <xf numFmtId="0" fontId="8" fillId="0" borderId="4" xfId="0" applyFont="1" applyBorder="1"/>
    <xf numFmtId="0" fontId="0" fillId="0" borderId="5" xfId="0" applyBorder="1"/>
    <xf numFmtId="0" fontId="8" fillId="0" borderId="0" xfId="0" applyFont="1" applyBorder="1"/>
    <xf numFmtId="0" fontId="8" fillId="0" borderId="6" xfId="0" applyFont="1" applyBorder="1"/>
    <xf numFmtId="177" fontId="8" fillId="0" borderId="3" xfId="0" applyNumberFormat="1" applyFont="1" applyBorder="1"/>
    <xf numFmtId="177" fontId="8" fillId="0" borderId="0" xfId="0" applyNumberFormat="1" applyFont="1" applyBorder="1"/>
    <xf numFmtId="0" fontId="1" fillId="0" borderId="1" xfId="0" applyFont="1" applyBorder="1"/>
    <xf numFmtId="177" fontId="1" fillId="0" borderId="1" xfId="0" applyNumberFormat="1" applyFont="1" applyBorder="1"/>
    <xf numFmtId="0" fontId="1" fillId="0" borderId="1" xfId="0" applyFont="1" applyFill="1" applyBorder="1"/>
    <xf numFmtId="0" fontId="2" fillId="0" borderId="1" xfId="0" applyFont="1" applyBorder="1" applyAlignment="1">
      <alignment textRotation="90"/>
    </xf>
    <xf numFmtId="0" fontId="2" fillId="0" borderId="1" xfId="0" applyFont="1" applyFill="1" applyBorder="1" applyAlignment="1">
      <alignment textRotation="90"/>
    </xf>
    <xf numFmtId="0" fontId="2" fillId="0" borderId="1" xfId="0" applyFont="1" applyBorder="1" applyAlignment="1">
      <alignment textRotation="90" wrapText="1"/>
    </xf>
    <xf numFmtId="0" fontId="2" fillId="0" borderId="1" xfId="0" applyFont="1" applyFill="1" applyBorder="1" applyAlignment="1">
      <alignment textRotation="90" wrapText="1"/>
    </xf>
    <xf numFmtId="0" fontId="0" fillId="0" borderId="0" xfId="0" applyFill="1" applyBorder="1"/>
    <xf numFmtId="0" fontId="8" fillId="0" borderId="0" xfId="0" applyFont="1" applyFill="1" applyBorder="1"/>
    <xf numFmtId="0" fontId="2" fillId="0" borderId="1" xfId="0" applyFont="1" applyBorder="1" applyAlignment="1">
      <alignment horizontal="center" vertical="top" wrapText="1"/>
    </xf>
    <xf numFmtId="14" fontId="4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0" xfId="0" applyFont="1" applyBorder="1"/>
    <xf numFmtId="180" fontId="0" fillId="0" borderId="3" xfId="0" applyNumberFormat="1" applyBorder="1"/>
    <xf numFmtId="180" fontId="0" fillId="0" borderId="0" xfId="0" applyNumberFormat="1" applyBorder="1"/>
    <xf numFmtId="180" fontId="0" fillId="0" borderId="0" xfId="0" applyNumberFormat="1" applyFill="1" applyBorder="1"/>
    <xf numFmtId="1" fontId="1" fillId="0" borderId="1" xfId="0" applyNumberFormat="1" applyFont="1" applyFill="1" applyBorder="1"/>
    <xf numFmtId="180" fontId="1" fillId="0" borderId="1" xfId="0" applyNumberFormat="1" applyFont="1" applyBorder="1"/>
    <xf numFmtId="177" fontId="0" fillId="0" borderId="3" xfId="0" applyNumberFormat="1" applyBorder="1"/>
    <xf numFmtId="177" fontId="0" fillId="0" borderId="0" xfId="0" applyNumberFormat="1" applyBorder="1"/>
    <xf numFmtId="180" fontId="1" fillId="0" borderId="0" xfId="0" applyNumberFormat="1" applyFont="1" applyBorder="1"/>
    <xf numFmtId="1" fontId="0" fillId="0" borderId="0" xfId="0" applyNumberFormat="1"/>
    <xf numFmtId="180" fontId="4" fillId="0" borderId="1" xfId="0" applyNumberFormat="1" applyFont="1" applyFill="1" applyBorder="1"/>
    <xf numFmtId="180" fontId="8" fillId="0" borderId="0" xfId="0" applyNumberFormat="1" applyFont="1" applyBorder="1"/>
    <xf numFmtId="0" fontId="4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180" fontId="1" fillId="0" borderId="1" xfId="0" applyNumberFormat="1" applyFont="1" applyBorder="1" applyAlignment="1">
      <alignment horizontal="right" vertical="center" wrapText="1"/>
    </xf>
    <xf numFmtId="0" fontId="3" fillId="0" borderId="7" xfId="0" applyFont="1" applyBorder="1" applyAlignment="1">
      <alignment horizontal="left" wrapText="1"/>
    </xf>
    <xf numFmtId="0" fontId="3" fillId="0" borderId="8" xfId="0" applyFont="1" applyBorder="1" applyAlignment="1">
      <alignment horizontal="left" wrapText="1"/>
    </xf>
    <xf numFmtId="0" fontId="3" fillId="0" borderId="9" xfId="0" applyFont="1" applyBorder="1" applyAlignment="1">
      <alignment horizontal="left" wrapText="1"/>
    </xf>
    <xf numFmtId="0" fontId="0" fillId="0" borderId="8" xfId="0" applyBorder="1" applyAlignment="1"/>
    <xf numFmtId="0" fontId="9" fillId="0" borderId="7" xfId="0" applyFont="1" applyBorder="1" applyAlignment="1"/>
    <xf numFmtId="0" fontId="3" fillId="0" borderId="8" xfId="0" applyFont="1" applyBorder="1" applyAlignment="1"/>
    <xf numFmtId="0" fontId="3" fillId="0" borderId="9" xfId="0" applyFont="1" applyBorder="1" applyAlignment="1"/>
    <xf numFmtId="14" fontId="4" fillId="0" borderId="7" xfId="0" applyNumberFormat="1" applyFont="1" applyBorder="1" applyAlignment="1">
      <alignment horizontal="center" vertical="top"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5746D-43F4-4C81-B423-C04ED57171D9}">
  <sheetPr codeName="Tabelle1"/>
  <dimension ref="A1:AH36"/>
  <sheetViews>
    <sheetView tabSelected="1" zoomScaleNormal="100" workbookViewId="0">
      <selection sqref="A1:F1"/>
    </sheetView>
  </sheetViews>
  <sheetFormatPr baseColWidth="10" defaultRowHeight="12.5"/>
  <cols>
    <col min="1" max="1" width="11.26953125" customWidth="1"/>
    <col min="2" max="2" width="15.26953125" customWidth="1"/>
    <col min="3" max="3" width="23.81640625" customWidth="1"/>
    <col min="4" max="4" width="60.26953125" customWidth="1"/>
    <col min="5" max="5" width="24.453125" customWidth="1"/>
    <col min="6" max="7" width="6.453125" customWidth="1"/>
    <col min="8" max="8" width="4.26953125" customWidth="1"/>
    <col min="9" max="9" width="3.7265625" customWidth="1"/>
    <col min="10" max="10" width="6.26953125" customWidth="1"/>
    <col min="11" max="11" width="6.54296875" customWidth="1"/>
    <col min="12" max="12" width="5.54296875" customWidth="1"/>
    <col min="13" max="13" width="5.453125" customWidth="1"/>
    <col min="14" max="14" width="6.54296875" customWidth="1"/>
    <col min="15" max="16" width="6.7265625" customWidth="1"/>
    <col min="17" max="17" width="6.54296875" customWidth="1"/>
    <col min="18" max="18" width="7.1796875" customWidth="1"/>
    <col min="19" max="20" width="6.1796875" customWidth="1"/>
    <col min="21" max="21" width="5.54296875" customWidth="1"/>
    <col min="22" max="22" width="4.81640625" customWidth="1"/>
    <col min="23" max="23" width="6.26953125" customWidth="1"/>
    <col min="24" max="24" width="5.81640625" customWidth="1"/>
    <col min="25" max="25" width="6.1796875" customWidth="1"/>
    <col min="26" max="26" width="5.7265625" customWidth="1"/>
    <col min="27" max="27" width="6.453125" customWidth="1"/>
    <col min="28" max="28" width="2.81640625" customWidth="1"/>
    <col min="29" max="29" width="4" customWidth="1"/>
    <col min="30" max="30" width="3.453125" customWidth="1"/>
    <col min="31" max="31" width="3.26953125" customWidth="1"/>
    <col min="32" max="33" width="3.1796875" customWidth="1"/>
    <col min="34" max="34" width="3.54296875" customWidth="1"/>
  </cols>
  <sheetData>
    <row r="1" spans="1:34" ht="26.25" customHeight="1">
      <c r="A1" s="49" t="s">
        <v>61</v>
      </c>
      <c r="B1" s="50"/>
      <c r="C1" s="50"/>
      <c r="D1" s="50"/>
      <c r="E1" s="50"/>
      <c r="F1" s="51"/>
      <c r="G1" s="53" t="s">
        <v>62</v>
      </c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5"/>
    </row>
    <row r="2" spans="1:34">
      <c r="A2" s="52"/>
      <c r="B2" s="52"/>
      <c r="C2" s="52"/>
      <c r="D2" s="52"/>
      <c r="E2" s="52"/>
      <c r="F2" s="52"/>
      <c r="G2" s="7"/>
      <c r="H2" s="8"/>
      <c r="I2" s="8"/>
      <c r="J2" s="8"/>
      <c r="K2" s="8"/>
      <c r="L2" s="8"/>
      <c r="M2" s="8"/>
      <c r="N2" s="7"/>
      <c r="O2" s="7"/>
      <c r="P2" s="7"/>
      <c r="Q2" s="7"/>
      <c r="R2" s="12"/>
      <c r="S2" s="7"/>
      <c r="T2" s="7"/>
      <c r="U2" s="9"/>
      <c r="V2" s="9"/>
      <c r="W2" s="9"/>
      <c r="X2" s="10"/>
      <c r="Y2" s="9"/>
      <c r="Z2" s="11"/>
      <c r="AA2" s="11"/>
      <c r="AB2" s="11"/>
      <c r="AC2" s="11"/>
      <c r="AD2" s="11"/>
    </row>
    <row r="3" spans="1:34" ht="72.5">
      <c r="A3" s="1" t="s">
        <v>0</v>
      </c>
      <c r="B3" s="1" t="s">
        <v>1</v>
      </c>
      <c r="C3" s="2" t="s">
        <v>2</v>
      </c>
      <c r="D3" s="1" t="s">
        <v>3</v>
      </c>
      <c r="E3" s="3" t="s">
        <v>4</v>
      </c>
      <c r="F3" s="2" t="s">
        <v>22</v>
      </c>
      <c r="G3" s="25" t="s">
        <v>26</v>
      </c>
      <c r="H3" s="25" t="s">
        <v>23</v>
      </c>
      <c r="I3" s="25" t="s">
        <v>24</v>
      </c>
      <c r="J3" s="25" t="s">
        <v>8</v>
      </c>
      <c r="K3" s="26" t="s">
        <v>32</v>
      </c>
      <c r="L3" s="25" t="s">
        <v>44</v>
      </c>
      <c r="M3" s="25" t="s">
        <v>25</v>
      </c>
      <c r="N3" s="25" t="s">
        <v>14</v>
      </c>
      <c r="O3" s="26" t="s">
        <v>33</v>
      </c>
      <c r="P3" s="25" t="s">
        <v>43</v>
      </c>
      <c r="Q3" s="25" t="s">
        <v>15</v>
      </c>
      <c r="R3" s="26" t="s">
        <v>34</v>
      </c>
      <c r="S3" s="25" t="s">
        <v>9</v>
      </c>
      <c r="T3" s="25" t="s">
        <v>10</v>
      </c>
      <c r="U3" s="25" t="s">
        <v>31</v>
      </c>
      <c r="V3" s="25" t="s">
        <v>12</v>
      </c>
      <c r="W3" s="26" t="s">
        <v>27</v>
      </c>
      <c r="X3" s="25" t="s">
        <v>13</v>
      </c>
      <c r="Y3" s="26" t="s">
        <v>29</v>
      </c>
      <c r="Z3" s="26" t="s">
        <v>30</v>
      </c>
      <c r="AA3" s="25" t="s">
        <v>11</v>
      </c>
      <c r="AB3" s="27" t="s">
        <v>18</v>
      </c>
      <c r="AC3" s="27" t="s">
        <v>19</v>
      </c>
      <c r="AD3" s="27" t="s">
        <v>20</v>
      </c>
      <c r="AE3" s="27" t="s">
        <v>21</v>
      </c>
      <c r="AF3" s="28" t="s">
        <v>17</v>
      </c>
      <c r="AG3" s="28" t="s">
        <v>16</v>
      </c>
      <c r="AH3" s="28" t="s">
        <v>28</v>
      </c>
    </row>
    <row r="4" spans="1:34" ht="13">
      <c r="A4" s="47" t="s">
        <v>52</v>
      </c>
      <c r="B4" s="32">
        <v>37065</v>
      </c>
      <c r="C4" s="5" t="s">
        <v>63</v>
      </c>
      <c r="D4" s="6" t="s">
        <v>64</v>
      </c>
      <c r="E4" s="4" t="s">
        <v>65</v>
      </c>
      <c r="F4" s="5">
        <v>154</v>
      </c>
      <c r="G4" s="13">
        <f>SUM(F4)</f>
        <v>154</v>
      </c>
      <c r="H4" s="14">
        <f>ROUND(PRODUCT(G4/1),0)</f>
        <v>154</v>
      </c>
      <c r="I4" s="14">
        <f>ROUND(PRODUCT(G4/COUNT(F4:F4)),0)</f>
        <v>154</v>
      </c>
      <c r="J4" s="40">
        <v>0.39583333333333331</v>
      </c>
      <c r="K4" s="20">
        <f>SUM(J4)</f>
        <v>0.39583333333333331</v>
      </c>
      <c r="L4" s="45">
        <f t="shared" ref="L4:L29" si="0">IF(F4=0,0,ROUND(PRODUCT(F4/SUM(HOUR(J4),PRODUCT(MINUTE(J4)/60))),1))</f>
        <v>16.2</v>
      </c>
      <c r="M4" s="35"/>
      <c r="N4" s="40">
        <v>0.52083333333333337</v>
      </c>
      <c r="O4" s="20">
        <f>SUM(N4)</f>
        <v>0.52083333333333337</v>
      </c>
      <c r="P4" s="45">
        <f t="shared" ref="P4:P29" si="1">IF(F4=0,0,ROUND(PRODUCT(F4/SUM(HOUR(N4),PRODUCT(MINUTE(N4)/60))),1))</f>
        <v>12.3</v>
      </c>
      <c r="Q4" s="20">
        <f t="shared" ref="Q4:Q29" si="2">SUM(N4,-J4)</f>
        <v>0.12500000000000006</v>
      </c>
      <c r="R4" s="20">
        <f>SUM(Q4)</f>
        <v>0.12500000000000006</v>
      </c>
      <c r="S4" s="14"/>
      <c r="T4" s="11"/>
      <c r="U4" s="15">
        <f>SUM(-S4,T4)</f>
        <v>0</v>
      </c>
      <c r="V4" s="14"/>
      <c r="W4" s="15">
        <f>SUM(V4)</f>
        <v>0</v>
      </c>
      <c r="X4" s="14">
        <f t="shared" ref="X4:X29" si="3">SUM(S4,-T4,V4)</f>
        <v>0</v>
      </c>
      <c r="Y4" s="15">
        <f>SUM(X4)</f>
        <v>0</v>
      </c>
      <c r="Z4" s="15">
        <f t="shared" ref="Z4:Z29" si="4">SUM(V4,-X4)</f>
        <v>0</v>
      </c>
      <c r="AA4" s="14"/>
      <c r="AB4" s="14"/>
      <c r="AC4" s="14"/>
      <c r="AD4" s="14"/>
      <c r="AE4" s="14"/>
      <c r="AF4" s="14"/>
      <c r="AG4" s="14"/>
      <c r="AH4" s="16">
        <f>SUM(AG4,-AF4)</f>
        <v>0</v>
      </c>
    </row>
    <row r="5" spans="1:34" ht="13">
      <c r="A5" s="47" t="s">
        <v>53</v>
      </c>
      <c r="B5" s="32">
        <v>37066</v>
      </c>
      <c r="C5" s="5" t="s">
        <v>65</v>
      </c>
      <c r="D5" s="6" t="s">
        <v>111</v>
      </c>
      <c r="E5" s="4" t="s">
        <v>66</v>
      </c>
      <c r="F5" s="5">
        <v>137</v>
      </c>
      <c r="G5" s="17">
        <f>SUM(G4,F5)</f>
        <v>291</v>
      </c>
      <c r="H5" s="11">
        <f>ROUND(PRODUCT(G5/2),0)</f>
        <v>146</v>
      </c>
      <c r="I5" s="11">
        <f>ROUND(PRODUCT(G5/COUNT(F4:F5)),0)</f>
        <v>146</v>
      </c>
      <c r="J5" s="41">
        <v>0.29166666666666669</v>
      </c>
      <c r="K5" s="21">
        <f t="shared" ref="K5:K29" si="5">SUM(J5,K4)</f>
        <v>0.6875</v>
      </c>
      <c r="L5" s="45">
        <f t="shared" si="0"/>
        <v>19.600000000000001</v>
      </c>
      <c r="M5" s="36"/>
      <c r="N5" s="41">
        <v>0.33333333333333331</v>
      </c>
      <c r="O5" s="21">
        <f t="shared" ref="O5:O29" si="6">SUM(N5,O4)</f>
        <v>0.85416666666666674</v>
      </c>
      <c r="P5" s="45">
        <f t="shared" si="1"/>
        <v>17.100000000000001</v>
      </c>
      <c r="Q5" s="21">
        <f t="shared" si="2"/>
        <v>4.166666666666663E-2</v>
      </c>
      <c r="R5" s="21">
        <f>SUM(Q5,R4)</f>
        <v>0.16666666666666669</v>
      </c>
      <c r="S5" s="11"/>
      <c r="T5" s="11"/>
      <c r="U5" s="18">
        <f>SUM(-S5,T5)</f>
        <v>0</v>
      </c>
      <c r="V5" s="29"/>
      <c r="W5" s="18">
        <f t="shared" ref="W5:W29" si="7">SUM(W4,V5)</f>
        <v>0</v>
      </c>
      <c r="X5" s="11">
        <f t="shared" si="3"/>
        <v>0</v>
      </c>
      <c r="Y5" s="18">
        <f>SUM(Y4,X5)</f>
        <v>0</v>
      </c>
      <c r="Z5" s="18">
        <f t="shared" si="4"/>
        <v>0</v>
      </c>
      <c r="AA5" s="11"/>
      <c r="AB5" s="11"/>
      <c r="AC5" s="30"/>
      <c r="AD5" s="29"/>
      <c r="AE5" s="30"/>
      <c r="AF5" s="30"/>
      <c r="AG5" s="30"/>
      <c r="AH5" s="19">
        <f>SUM(AG5,-AF5)</f>
        <v>0</v>
      </c>
    </row>
    <row r="6" spans="1:34" ht="13">
      <c r="A6" s="47" t="s">
        <v>54</v>
      </c>
      <c r="B6" s="32">
        <v>37067</v>
      </c>
      <c r="C6" s="5" t="s">
        <v>66</v>
      </c>
      <c r="D6" s="6" t="s">
        <v>67</v>
      </c>
      <c r="E6" s="4" t="s">
        <v>68</v>
      </c>
      <c r="F6" s="5">
        <v>180</v>
      </c>
      <c r="G6" s="17">
        <f t="shared" ref="G6:G29" si="8">SUM(G5,F6)</f>
        <v>471</v>
      </c>
      <c r="H6" s="11">
        <f>ROUND(PRODUCT(G6/3),0)</f>
        <v>157</v>
      </c>
      <c r="I6" s="11">
        <f>ROUND(PRODUCT(G6/COUNT(F4:F6)),0)</f>
        <v>157</v>
      </c>
      <c r="J6" s="41">
        <v>0.4375</v>
      </c>
      <c r="K6" s="21">
        <f t="shared" si="5"/>
        <v>1.125</v>
      </c>
      <c r="L6" s="45">
        <f t="shared" si="0"/>
        <v>17.100000000000001</v>
      </c>
      <c r="M6" s="36"/>
      <c r="N6" s="41">
        <v>0.47916666666666669</v>
      </c>
      <c r="O6" s="21">
        <f t="shared" si="6"/>
        <v>1.3333333333333335</v>
      </c>
      <c r="P6" s="45">
        <f t="shared" si="1"/>
        <v>15.7</v>
      </c>
      <c r="Q6" s="21">
        <f t="shared" si="2"/>
        <v>4.1666666666666685E-2</v>
      </c>
      <c r="R6" s="21">
        <f t="shared" ref="R6:R29" si="9">SUM(Q6,R5)</f>
        <v>0.20833333333333337</v>
      </c>
      <c r="S6" s="11"/>
      <c r="T6" s="29"/>
      <c r="U6" s="18">
        <f t="shared" ref="U6:U29" si="10">SUM(-S6,T6)</f>
        <v>0</v>
      </c>
      <c r="V6" s="29"/>
      <c r="W6" s="18">
        <f t="shared" si="7"/>
        <v>0</v>
      </c>
      <c r="X6" s="11">
        <f t="shared" si="3"/>
        <v>0</v>
      </c>
      <c r="Y6" s="18">
        <f t="shared" ref="Y6:Y29" si="11">SUM(Y5,X6)</f>
        <v>0</v>
      </c>
      <c r="Z6" s="18">
        <f t="shared" si="4"/>
        <v>0</v>
      </c>
      <c r="AA6" s="11"/>
      <c r="AB6" s="11"/>
      <c r="AC6" s="30"/>
      <c r="AD6" s="29"/>
      <c r="AE6" s="30"/>
      <c r="AF6" s="30"/>
      <c r="AG6" s="30"/>
      <c r="AH6" s="19">
        <f t="shared" ref="AH6:AH29" si="12">SUM(AG6,-AF6)</f>
        <v>0</v>
      </c>
    </row>
    <row r="7" spans="1:34" ht="13">
      <c r="A7" s="47" t="s">
        <v>55</v>
      </c>
      <c r="B7" s="32">
        <v>37068</v>
      </c>
      <c r="C7" s="5" t="s">
        <v>68</v>
      </c>
      <c r="D7" s="6" t="s">
        <v>69</v>
      </c>
      <c r="E7" s="4" t="s">
        <v>70</v>
      </c>
      <c r="F7" s="5">
        <v>149</v>
      </c>
      <c r="G7" s="17">
        <f t="shared" si="8"/>
        <v>620</v>
      </c>
      <c r="H7" s="11">
        <f>ROUND(PRODUCT(G7/4),0)</f>
        <v>155</v>
      </c>
      <c r="I7" s="11">
        <f>ROUND(PRODUCT(G7/COUNT(F4:F7)),0)</f>
        <v>155</v>
      </c>
      <c r="J7" s="41">
        <v>0.33333333333333331</v>
      </c>
      <c r="K7" s="21">
        <f t="shared" si="5"/>
        <v>1.4583333333333333</v>
      </c>
      <c r="L7" s="45">
        <f t="shared" si="0"/>
        <v>18.600000000000001</v>
      </c>
      <c r="M7" s="37"/>
      <c r="N7" s="41">
        <v>0.375</v>
      </c>
      <c r="O7" s="21">
        <f t="shared" si="6"/>
        <v>1.7083333333333335</v>
      </c>
      <c r="P7" s="45">
        <f t="shared" si="1"/>
        <v>16.600000000000001</v>
      </c>
      <c r="Q7" s="21">
        <f t="shared" si="2"/>
        <v>4.1666666666666685E-2</v>
      </c>
      <c r="R7" s="21">
        <f t="shared" si="9"/>
        <v>0.25000000000000006</v>
      </c>
      <c r="S7" s="29"/>
      <c r="T7" s="29"/>
      <c r="U7" s="18">
        <f t="shared" si="10"/>
        <v>0</v>
      </c>
      <c r="V7" s="29"/>
      <c r="W7" s="18">
        <f t="shared" si="7"/>
        <v>0</v>
      </c>
      <c r="X7" s="11">
        <f t="shared" si="3"/>
        <v>0</v>
      </c>
      <c r="Y7" s="18">
        <f t="shared" si="11"/>
        <v>0</v>
      </c>
      <c r="Z7" s="18">
        <f t="shared" si="4"/>
        <v>0</v>
      </c>
      <c r="AA7" s="29"/>
      <c r="AB7" s="29"/>
      <c r="AC7" s="30"/>
      <c r="AD7" s="29"/>
      <c r="AE7" s="30"/>
      <c r="AF7" s="30"/>
      <c r="AG7" s="30"/>
      <c r="AH7" s="19">
        <f t="shared" si="12"/>
        <v>0</v>
      </c>
    </row>
    <row r="8" spans="1:34" ht="13">
      <c r="A8" s="47" t="s">
        <v>56</v>
      </c>
      <c r="B8" s="32">
        <v>37069</v>
      </c>
      <c r="C8" s="5" t="s">
        <v>70</v>
      </c>
      <c r="D8" s="6" t="s">
        <v>71</v>
      </c>
      <c r="E8" s="4" t="s">
        <v>72</v>
      </c>
      <c r="F8" s="5">
        <v>156</v>
      </c>
      <c r="G8" s="17">
        <f t="shared" si="8"/>
        <v>776</v>
      </c>
      <c r="H8" s="11">
        <f>ROUND(PRODUCT(G8/5),0)</f>
        <v>155</v>
      </c>
      <c r="I8" s="11">
        <f>ROUND(PRODUCT(G8/COUNT(F4:F8)),0)</f>
        <v>155</v>
      </c>
      <c r="J8" s="41">
        <v>0.33333333333333331</v>
      </c>
      <c r="K8" s="21">
        <f t="shared" si="5"/>
        <v>1.7916666666666665</v>
      </c>
      <c r="L8" s="45">
        <f t="shared" si="0"/>
        <v>19.5</v>
      </c>
      <c r="M8" s="37"/>
      <c r="N8" s="41">
        <v>0.4375</v>
      </c>
      <c r="O8" s="21">
        <f t="shared" si="6"/>
        <v>2.1458333333333335</v>
      </c>
      <c r="P8" s="45">
        <f t="shared" si="1"/>
        <v>14.9</v>
      </c>
      <c r="Q8" s="21">
        <f t="shared" si="2"/>
        <v>0.10416666666666669</v>
      </c>
      <c r="R8" s="21">
        <f t="shared" si="9"/>
        <v>0.35416666666666674</v>
      </c>
      <c r="S8" s="29"/>
      <c r="T8" s="29"/>
      <c r="U8" s="18">
        <f t="shared" si="10"/>
        <v>0</v>
      </c>
      <c r="V8" s="29"/>
      <c r="W8" s="18">
        <f t="shared" si="7"/>
        <v>0</v>
      </c>
      <c r="X8" s="11">
        <f t="shared" si="3"/>
        <v>0</v>
      </c>
      <c r="Y8" s="18">
        <f t="shared" si="11"/>
        <v>0</v>
      </c>
      <c r="Z8" s="18">
        <f t="shared" si="4"/>
        <v>0</v>
      </c>
      <c r="AA8" s="29"/>
      <c r="AB8" s="29"/>
      <c r="AC8" s="30"/>
      <c r="AD8" s="29"/>
      <c r="AE8" s="30"/>
      <c r="AF8" s="30"/>
      <c r="AG8" s="30"/>
      <c r="AH8" s="19">
        <f t="shared" si="12"/>
        <v>0</v>
      </c>
    </row>
    <row r="9" spans="1:34" ht="13">
      <c r="A9" s="47" t="s">
        <v>57</v>
      </c>
      <c r="B9" s="32">
        <v>37070</v>
      </c>
      <c r="C9" s="5" t="s">
        <v>72</v>
      </c>
      <c r="D9" s="6" t="s">
        <v>73</v>
      </c>
      <c r="E9" s="4" t="s">
        <v>74</v>
      </c>
      <c r="F9" s="5">
        <v>151</v>
      </c>
      <c r="G9" s="17">
        <f t="shared" si="8"/>
        <v>927</v>
      </c>
      <c r="H9" s="11">
        <f>ROUND(PRODUCT(G9/6),0)</f>
        <v>155</v>
      </c>
      <c r="I9" s="11">
        <f>ROUND(PRODUCT(G9/COUNT(F4:F9)),0)</f>
        <v>155</v>
      </c>
      <c r="J9" s="41">
        <v>0.29166666666666669</v>
      </c>
      <c r="K9" s="21">
        <f t="shared" si="5"/>
        <v>2.083333333333333</v>
      </c>
      <c r="L9" s="45">
        <f t="shared" si="0"/>
        <v>21.6</v>
      </c>
      <c r="M9" s="37"/>
      <c r="N9" s="41">
        <v>0.39583333333333331</v>
      </c>
      <c r="O9" s="21">
        <f t="shared" si="6"/>
        <v>2.541666666666667</v>
      </c>
      <c r="P9" s="45">
        <f t="shared" si="1"/>
        <v>15.9</v>
      </c>
      <c r="Q9" s="21">
        <f t="shared" si="2"/>
        <v>0.10416666666666663</v>
      </c>
      <c r="R9" s="21">
        <f t="shared" si="9"/>
        <v>0.45833333333333337</v>
      </c>
      <c r="S9" s="29"/>
      <c r="T9" s="29"/>
      <c r="U9" s="18">
        <f t="shared" si="10"/>
        <v>0</v>
      </c>
      <c r="V9" s="29"/>
      <c r="W9" s="18">
        <f t="shared" si="7"/>
        <v>0</v>
      </c>
      <c r="X9" s="11">
        <f t="shared" si="3"/>
        <v>0</v>
      </c>
      <c r="Y9" s="18">
        <f t="shared" si="11"/>
        <v>0</v>
      </c>
      <c r="Z9" s="18">
        <f t="shared" si="4"/>
        <v>0</v>
      </c>
      <c r="AA9" s="29"/>
      <c r="AB9" s="29"/>
      <c r="AC9" s="30"/>
      <c r="AD9" s="29"/>
      <c r="AE9" s="30"/>
      <c r="AF9" s="30"/>
      <c r="AG9" s="30"/>
      <c r="AH9" s="19">
        <f t="shared" si="12"/>
        <v>0</v>
      </c>
    </row>
    <row r="10" spans="1:34" ht="13">
      <c r="A10" s="47" t="s">
        <v>58</v>
      </c>
      <c r="B10" s="32">
        <v>37071</v>
      </c>
      <c r="C10" s="5" t="s">
        <v>74</v>
      </c>
      <c r="D10" s="6"/>
      <c r="E10" s="4" t="s">
        <v>75</v>
      </c>
      <c r="F10" s="5">
        <v>176</v>
      </c>
      <c r="G10" s="17">
        <f t="shared" si="8"/>
        <v>1103</v>
      </c>
      <c r="H10" s="11">
        <f>ROUND(PRODUCT(G10/7),0)</f>
        <v>158</v>
      </c>
      <c r="I10" s="11">
        <f>ROUND(PRODUCT(G10/COUNT(F4:F10)),0)</f>
        <v>158</v>
      </c>
      <c r="J10" s="41">
        <v>0.3125</v>
      </c>
      <c r="K10" s="21">
        <f t="shared" si="5"/>
        <v>2.395833333333333</v>
      </c>
      <c r="L10" s="45">
        <f t="shared" si="0"/>
        <v>23.5</v>
      </c>
      <c r="M10" s="36"/>
      <c r="N10" s="41">
        <v>0.35416666666666669</v>
      </c>
      <c r="O10" s="21">
        <f t="shared" si="6"/>
        <v>2.8958333333333335</v>
      </c>
      <c r="P10" s="45">
        <f t="shared" si="1"/>
        <v>20.7</v>
      </c>
      <c r="Q10" s="21">
        <f t="shared" si="2"/>
        <v>4.1666666666666685E-2</v>
      </c>
      <c r="R10" s="21">
        <f t="shared" si="9"/>
        <v>0.5</v>
      </c>
      <c r="S10" s="29"/>
      <c r="T10" s="11"/>
      <c r="U10" s="18">
        <f t="shared" si="10"/>
        <v>0</v>
      </c>
      <c r="V10" s="29"/>
      <c r="W10" s="18">
        <f t="shared" si="7"/>
        <v>0</v>
      </c>
      <c r="X10" s="11">
        <f t="shared" si="3"/>
        <v>0</v>
      </c>
      <c r="Y10" s="18">
        <f t="shared" si="11"/>
        <v>0</v>
      </c>
      <c r="Z10" s="18">
        <f t="shared" si="4"/>
        <v>0</v>
      </c>
      <c r="AA10" s="11"/>
      <c r="AB10" s="11"/>
      <c r="AC10" s="30"/>
      <c r="AD10" s="29"/>
      <c r="AE10" s="30"/>
      <c r="AF10" s="30"/>
      <c r="AG10" s="30"/>
      <c r="AH10" s="19">
        <f t="shared" si="12"/>
        <v>0</v>
      </c>
    </row>
    <row r="11" spans="1:34" ht="13">
      <c r="A11" s="6" t="s">
        <v>59</v>
      </c>
      <c r="B11" s="32">
        <v>37072</v>
      </c>
      <c r="C11" s="5" t="s">
        <v>75</v>
      </c>
      <c r="D11" s="6" t="s">
        <v>76</v>
      </c>
      <c r="E11" s="4" t="s">
        <v>77</v>
      </c>
      <c r="F11" s="5">
        <v>144</v>
      </c>
      <c r="G11" s="17">
        <f t="shared" si="8"/>
        <v>1247</v>
      </c>
      <c r="H11" s="11">
        <f>ROUND(PRODUCT(G11/8),0)</f>
        <v>156</v>
      </c>
      <c r="I11" s="11">
        <f>ROUND(PRODUCT(G11/COUNT(F4:F11)),0)</f>
        <v>156</v>
      </c>
      <c r="J11" s="41">
        <v>0.29166666666666669</v>
      </c>
      <c r="K11" s="21">
        <f t="shared" si="5"/>
        <v>2.6874999999999996</v>
      </c>
      <c r="L11" s="45">
        <f t="shared" si="0"/>
        <v>20.6</v>
      </c>
      <c r="M11" s="37"/>
      <c r="N11" s="41">
        <v>0.35416666666666669</v>
      </c>
      <c r="O11" s="21">
        <f t="shared" si="6"/>
        <v>3.25</v>
      </c>
      <c r="P11" s="45">
        <f t="shared" si="1"/>
        <v>16.899999999999999</v>
      </c>
      <c r="Q11" s="21">
        <f t="shared" si="2"/>
        <v>6.25E-2</v>
      </c>
      <c r="R11" s="21">
        <f t="shared" si="9"/>
        <v>0.5625</v>
      </c>
      <c r="S11" s="29"/>
      <c r="T11" s="29"/>
      <c r="U11" s="18">
        <f t="shared" si="10"/>
        <v>0</v>
      </c>
      <c r="V11" s="29"/>
      <c r="W11" s="18">
        <f t="shared" si="7"/>
        <v>0</v>
      </c>
      <c r="X11" s="11">
        <f t="shared" si="3"/>
        <v>0</v>
      </c>
      <c r="Y11" s="18">
        <f t="shared" si="11"/>
        <v>0</v>
      </c>
      <c r="Z11" s="18">
        <f t="shared" si="4"/>
        <v>0</v>
      </c>
      <c r="AA11" s="29"/>
      <c r="AB11" s="29"/>
      <c r="AC11" s="30"/>
      <c r="AD11" s="29"/>
      <c r="AE11" s="30"/>
      <c r="AF11" s="30"/>
      <c r="AG11" s="30"/>
      <c r="AH11" s="19">
        <f t="shared" si="12"/>
        <v>0</v>
      </c>
    </row>
    <row r="12" spans="1:34" ht="13">
      <c r="A12" s="6" t="s">
        <v>60</v>
      </c>
      <c r="B12" s="32">
        <v>37073</v>
      </c>
      <c r="C12" s="5" t="s">
        <v>77</v>
      </c>
      <c r="D12" s="6" t="s">
        <v>78</v>
      </c>
      <c r="E12" s="4" t="s">
        <v>79</v>
      </c>
      <c r="F12" s="5">
        <v>170</v>
      </c>
      <c r="G12" s="17">
        <f t="shared" si="8"/>
        <v>1417</v>
      </c>
      <c r="H12" s="11">
        <f>ROUND(PRODUCT(G12/9),0)</f>
        <v>157</v>
      </c>
      <c r="I12" s="11">
        <f>ROUND(PRODUCT(G12/COUNT(F4:F12)),0)</f>
        <v>157</v>
      </c>
      <c r="J12" s="41">
        <v>0.33333333333333331</v>
      </c>
      <c r="K12" s="21">
        <f t="shared" si="5"/>
        <v>3.020833333333333</v>
      </c>
      <c r="L12" s="45">
        <f t="shared" si="0"/>
        <v>21.3</v>
      </c>
      <c r="M12" s="36"/>
      <c r="N12" s="41">
        <v>0.36458333333333331</v>
      </c>
      <c r="O12" s="21">
        <f t="shared" si="6"/>
        <v>3.6145833333333335</v>
      </c>
      <c r="P12" s="45">
        <f t="shared" si="1"/>
        <v>19.399999999999999</v>
      </c>
      <c r="Q12" s="21">
        <f t="shared" si="2"/>
        <v>3.125E-2</v>
      </c>
      <c r="R12" s="21">
        <f t="shared" si="9"/>
        <v>0.59375</v>
      </c>
      <c r="S12" s="11"/>
      <c r="T12" s="11"/>
      <c r="U12" s="18">
        <f t="shared" si="10"/>
        <v>0</v>
      </c>
      <c r="V12" s="29"/>
      <c r="W12" s="18">
        <f t="shared" si="7"/>
        <v>0</v>
      </c>
      <c r="X12" s="11">
        <f t="shared" si="3"/>
        <v>0</v>
      </c>
      <c r="Y12" s="18">
        <f t="shared" si="11"/>
        <v>0</v>
      </c>
      <c r="Z12" s="18">
        <f t="shared" si="4"/>
        <v>0</v>
      </c>
      <c r="AA12" s="11"/>
      <c r="AB12" s="11"/>
      <c r="AC12" s="30"/>
      <c r="AD12" s="29"/>
      <c r="AE12" s="30"/>
      <c r="AF12" s="30"/>
      <c r="AG12" s="30"/>
      <c r="AH12" s="19">
        <f t="shared" si="12"/>
        <v>0</v>
      </c>
    </row>
    <row r="13" spans="1:34" ht="13">
      <c r="A13" s="6" t="s">
        <v>5</v>
      </c>
      <c r="B13" s="32">
        <v>37074</v>
      </c>
      <c r="C13" s="5" t="s">
        <v>79</v>
      </c>
      <c r="D13" s="6" t="s">
        <v>80</v>
      </c>
      <c r="E13" s="4" t="s">
        <v>81</v>
      </c>
      <c r="F13" s="5">
        <v>162</v>
      </c>
      <c r="G13" s="17">
        <f t="shared" si="8"/>
        <v>1579</v>
      </c>
      <c r="H13" s="11">
        <f>ROUND(PRODUCT(G13/10),0)</f>
        <v>158</v>
      </c>
      <c r="I13" s="11">
        <f>ROUND(PRODUCT(G13/COUNT(F4:F13)),0)</f>
        <v>158</v>
      </c>
      <c r="J13" s="41">
        <v>0.375</v>
      </c>
      <c r="K13" s="21">
        <f t="shared" si="5"/>
        <v>3.395833333333333</v>
      </c>
      <c r="L13" s="45">
        <f t="shared" si="0"/>
        <v>18</v>
      </c>
      <c r="M13" s="37"/>
      <c r="N13" s="41">
        <v>0.41666666666666669</v>
      </c>
      <c r="O13" s="21">
        <f t="shared" si="6"/>
        <v>4.03125</v>
      </c>
      <c r="P13" s="45">
        <f t="shared" si="1"/>
        <v>16.2</v>
      </c>
      <c r="Q13" s="21">
        <f t="shared" si="2"/>
        <v>4.1666666666666685E-2</v>
      </c>
      <c r="R13" s="21">
        <f t="shared" si="9"/>
        <v>0.63541666666666674</v>
      </c>
      <c r="S13" s="29"/>
      <c r="T13" s="29"/>
      <c r="U13" s="18">
        <f t="shared" si="10"/>
        <v>0</v>
      </c>
      <c r="V13" s="29"/>
      <c r="W13" s="18">
        <f t="shared" si="7"/>
        <v>0</v>
      </c>
      <c r="X13" s="11">
        <f t="shared" si="3"/>
        <v>0</v>
      </c>
      <c r="Y13" s="18">
        <f t="shared" si="11"/>
        <v>0</v>
      </c>
      <c r="Z13" s="18">
        <f t="shared" si="4"/>
        <v>0</v>
      </c>
      <c r="AA13" s="29"/>
      <c r="AB13" s="29"/>
      <c r="AC13" s="30"/>
      <c r="AD13" s="29"/>
      <c r="AE13" s="30"/>
      <c r="AF13" s="30"/>
      <c r="AG13" s="30"/>
      <c r="AH13" s="19">
        <f t="shared" si="12"/>
        <v>0</v>
      </c>
    </row>
    <row r="14" spans="1:34" ht="13">
      <c r="A14" s="6" t="s">
        <v>7</v>
      </c>
      <c r="B14" s="32">
        <v>37075</v>
      </c>
      <c r="C14" s="5" t="s">
        <v>81</v>
      </c>
      <c r="D14" s="6" t="s">
        <v>82</v>
      </c>
      <c r="E14" s="4" t="s">
        <v>83</v>
      </c>
      <c r="F14" s="5">
        <v>181</v>
      </c>
      <c r="G14" s="17">
        <f t="shared" si="8"/>
        <v>1760</v>
      </c>
      <c r="H14" s="11">
        <f>ROUND(PRODUCT(G14/11),0)</f>
        <v>160</v>
      </c>
      <c r="I14" s="11">
        <f>ROUND(PRODUCT(G14/COUNT(F4:F14)),0)</f>
        <v>160</v>
      </c>
      <c r="J14" s="41">
        <v>0.35416666666666669</v>
      </c>
      <c r="K14" s="21">
        <f t="shared" si="5"/>
        <v>3.7499999999999996</v>
      </c>
      <c r="L14" s="45">
        <f t="shared" si="0"/>
        <v>21.3</v>
      </c>
      <c r="M14" s="37"/>
      <c r="N14" s="41">
        <v>0.39583333333333331</v>
      </c>
      <c r="O14" s="21">
        <f t="shared" si="6"/>
        <v>4.427083333333333</v>
      </c>
      <c r="P14" s="45">
        <f t="shared" si="1"/>
        <v>19.100000000000001</v>
      </c>
      <c r="Q14" s="21">
        <f t="shared" si="2"/>
        <v>4.166666666666663E-2</v>
      </c>
      <c r="R14" s="21">
        <f t="shared" si="9"/>
        <v>0.67708333333333337</v>
      </c>
      <c r="S14" s="29"/>
      <c r="T14" s="29"/>
      <c r="U14" s="18">
        <f t="shared" si="10"/>
        <v>0</v>
      </c>
      <c r="V14" s="29"/>
      <c r="W14" s="18">
        <f t="shared" si="7"/>
        <v>0</v>
      </c>
      <c r="X14" s="11">
        <f t="shared" si="3"/>
        <v>0</v>
      </c>
      <c r="Y14" s="18">
        <f t="shared" si="11"/>
        <v>0</v>
      </c>
      <c r="Z14" s="18">
        <f t="shared" si="4"/>
        <v>0</v>
      </c>
      <c r="AA14" s="29"/>
      <c r="AB14" s="29"/>
      <c r="AC14" s="30"/>
      <c r="AD14" s="29"/>
      <c r="AE14" s="30"/>
      <c r="AF14" s="30"/>
      <c r="AG14" s="30"/>
      <c r="AH14" s="19">
        <f t="shared" si="12"/>
        <v>0</v>
      </c>
    </row>
    <row r="15" spans="1:34" ht="13">
      <c r="A15" s="6" t="s">
        <v>35</v>
      </c>
      <c r="B15" s="32">
        <v>37076</v>
      </c>
      <c r="C15" s="5" t="s">
        <v>83</v>
      </c>
      <c r="D15" s="6" t="s">
        <v>84</v>
      </c>
      <c r="E15" s="4" t="s">
        <v>85</v>
      </c>
      <c r="F15" s="5">
        <v>202</v>
      </c>
      <c r="G15" s="17">
        <f t="shared" si="8"/>
        <v>1962</v>
      </c>
      <c r="H15" s="11">
        <f>ROUND(PRODUCT(G15/12),0)</f>
        <v>164</v>
      </c>
      <c r="I15" s="11">
        <f>ROUND(PRODUCT(G15/COUNT(F4:F15)),0)</f>
        <v>164</v>
      </c>
      <c r="J15" s="41">
        <v>0.375</v>
      </c>
      <c r="K15" s="21">
        <f t="shared" si="5"/>
        <v>4.125</v>
      </c>
      <c r="L15" s="45">
        <f t="shared" si="0"/>
        <v>22.4</v>
      </c>
      <c r="M15" s="36"/>
      <c r="N15" s="41">
        <v>0.41666666666666669</v>
      </c>
      <c r="O15" s="21">
        <f t="shared" si="6"/>
        <v>4.84375</v>
      </c>
      <c r="P15" s="45">
        <f t="shared" si="1"/>
        <v>20.2</v>
      </c>
      <c r="Q15" s="21">
        <f t="shared" si="2"/>
        <v>4.1666666666666685E-2</v>
      </c>
      <c r="R15" s="21">
        <f t="shared" si="9"/>
        <v>0.71875</v>
      </c>
      <c r="S15" s="11"/>
      <c r="T15" s="11"/>
      <c r="U15" s="18">
        <f t="shared" si="10"/>
        <v>0</v>
      </c>
      <c r="V15" s="29"/>
      <c r="W15" s="18">
        <f t="shared" si="7"/>
        <v>0</v>
      </c>
      <c r="X15" s="11">
        <f t="shared" si="3"/>
        <v>0</v>
      </c>
      <c r="Y15" s="18">
        <f t="shared" si="11"/>
        <v>0</v>
      </c>
      <c r="Z15" s="18">
        <f t="shared" si="4"/>
        <v>0</v>
      </c>
      <c r="AA15" s="11"/>
      <c r="AB15" s="11"/>
      <c r="AC15" s="30"/>
      <c r="AD15" s="29"/>
      <c r="AE15" s="30"/>
      <c r="AF15" s="30"/>
      <c r="AG15" s="30"/>
      <c r="AH15" s="19">
        <f t="shared" si="12"/>
        <v>0</v>
      </c>
    </row>
    <row r="16" spans="1:34" ht="13">
      <c r="A16" s="6" t="s">
        <v>36</v>
      </c>
      <c r="B16" s="32">
        <v>37077</v>
      </c>
      <c r="C16" s="5" t="s">
        <v>85</v>
      </c>
      <c r="D16" s="6" t="s">
        <v>86</v>
      </c>
      <c r="E16" s="4" t="s">
        <v>87</v>
      </c>
      <c r="F16" s="5">
        <v>171</v>
      </c>
      <c r="G16" s="17">
        <f t="shared" si="8"/>
        <v>2133</v>
      </c>
      <c r="H16" s="11">
        <f>ROUND(PRODUCT(G16/13),0)</f>
        <v>164</v>
      </c>
      <c r="I16" s="11">
        <f>ROUND(PRODUCT(G16/COUNT(F4:F16)),0)</f>
        <v>164</v>
      </c>
      <c r="J16" s="41">
        <v>0.35416666666666669</v>
      </c>
      <c r="K16" s="21">
        <f t="shared" si="5"/>
        <v>4.479166666666667</v>
      </c>
      <c r="L16" s="45">
        <f t="shared" si="0"/>
        <v>20.100000000000001</v>
      </c>
      <c r="M16" s="36"/>
      <c r="N16" s="41">
        <v>0.39583333333333331</v>
      </c>
      <c r="O16" s="21">
        <f t="shared" si="6"/>
        <v>5.239583333333333</v>
      </c>
      <c r="P16" s="45">
        <f t="shared" si="1"/>
        <v>18</v>
      </c>
      <c r="Q16" s="21">
        <f t="shared" si="2"/>
        <v>4.166666666666663E-2</v>
      </c>
      <c r="R16" s="21">
        <f t="shared" si="9"/>
        <v>0.76041666666666663</v>
      </c>
      <c r="S16" s="11"/>
      <c r="T16" s="11"/>
      <c r="U16" s="18">
        <f t="shared" si="10"/>
        <v>0</v>
      </c>
      <c r="V16" s="29"/>
      <c r="W16" s="18">
        <f t="shared" si="7"/>
        <v>0</v>
      </c>
      <c r="X16" s="11">
        <f t="shared" si="3"/>
        <v>0</v>
      </c>
      <c r="Y16" s="18">
        <f t="shared" si="11"/>
        <v>0</v>
      </c>
      <c r="Z16" s="18">
        <f t="shared" si="4"/>
        <v>0</v>
      </c>
      <c r="AA16" s="11"/>
      <c r="AB16" s="11"/>
      <c r="AC16" s="30"/>
      <c r="AD16" s="29"/>
      <c r="AE16" s="30"/>
      <c r="AF16" s="30"/>
      <c r="AG16" s="30"/>
      <c r="AH16" s="19">
        <f t="shared" si="12"/>
        <v>0</v>
      </c>
    </row>
    <row r="17" spans="1:34" ht="13">
      <c r="A17" s="6" t="s">
        <v>37</v>
      </c>
      <c r="B17" s="32">
        <v>37078</v>
      </c>
      <c r="C17" s="5" t="s">
        <v>87</v>
      </c>
      <c r="D17" s="6" t="s">
        <v>88</v>
      </c>
      <c r="E17" s="4" t="s">
        <v>89</v>
      </c>
      <c r="F17" s="5">
        <v>198</v>
      </c>
      <c r="G17" s="17">
        <f t="shared" si="8"/>
        <v>2331</v>
      </c>
      <c r="H17" s="11">
        <f>ROUND(PRODUCT(G17/14),0)</f>
        <v>167</v>
      </c>
      <c r="I17" s="11">
        <f>ROUND(PRODUCT(G17/COUNT(F4:F17)),0)</f>
        <v>167</v>
      </c>
      <c r="J17" s="41">
        <v>0.39583333333333331</v>
      </c>
      <c r="K17" s="21">
        <f t="shared" si="5"/>
        <v>4.875</v>
      </c>
      <c r="L17" s="45">
        <f t="shared" si="0"/>
        <v>20.8</v>
      </c>
      <c r="M17" s="36"/>
      <c r="N17" s="41">
        <v>0.45833333333333331</v>
      </c>
      <c r="O17" s="21">
        <f t="shared" si="6"/>
        <v>5.6979166666666661</v>
      </c>
      <c r="P17" s="45">
        <f t="shared" si="1"/>
        <v>18</v>
      </c>
      <c r="Q17" s="21">
        <f t="shared" si="2"/>
        <v>6.25E-2</v>
      </c>
      <c r="R17" s="21">
        <f t="shared" si="9"/>
        <v>0.82291666666666663</v>
      </c>
      <c r="S17" s="11"/>
      <c r="T17" s="11"/>
      <c r="U17" s="18">
        <f t="shared" si="10"/>
        <v>0</v>
      </c>
      <c r="V17" s="29"/>
      <c r="W17" s="18">
        <f t="shared" si="7"/>
        <v>0</v>
      </c>
      <c r="X17" s="11">
        <f t="shared" si="3"/>
        <v>0</v>
      </c>
      <c r="Y17" s="18">
        <f t="shared" si="11"/>
        <v>0</v>
      </c>
      <c r="Z17" s="18">
        <f t="shared" si="4"/>
        <v>0</v>
      </c>
      <c r="AA17" s="11"/>
      <c r="AB17" s="11"/>
      <c r="AC17" s="30"/>
      <c r="AD17" s="29"/>
      <c r="AE17" s="30"/>
      <c r="AF17" s="30"/>
      <c r="AG17" s="30"/>
      <c r="AH17" s="19">
        <f t="shared" si="12"/>
        <v>0</v>
      </c>
    </row>
    <row r="18" spans="1:34" ht="13">
      <c r="A18" s="6" t="s">
        <v>38</v>
      </c>
      <c r="B18" s="32">
        <v>37079</v>
      </c>
      <c r="C18" s="5" t="s">
        <v>89</v>
      </c>
      <c r="D18" s="6" t="s">
        <v>90</v>
      </c>
      <c r="E18" s="4" t="s">
        <v>91</v>
      </c>
      <c r="F18" s="5">
        <v>181</v>
      </c>
      <c r="G18" s="17">
        <f t="shared" si="8"/>
        <v>2512</v>
      </c>
      <c r="H18" s="11">
        <f>ROUND(PRODUCT(G18/15),0)</f>
        <v>167</v>
      </c>
      <c r="I18" s="11">
        <f>ROUND(PRODUCT(G18/COUNT(F4:F18)),0)</f>
        <v>167</v>
      </c>
      <c r="J18" s="41">
        <v>0.375</v>
      </c>
      <c r="K18" s="21">
        <f t="shared" si="5"/>
        <v>5.25</v>
      </c>
      <c r="L18" s="45">
        <f t="shared" si="0"/>
        <v>20.100000000000001</v>
      </c>
      <c r="M18" s="36"/>
      <c r="N18" s="41">
        <v>0.47916666666666669</v>
      </c>
      <c r="O18" s="21">
        <f t="shared" si="6"/>
        <v>6.177083333333333</v>
      </c>
      <c r="P18" s="45">
        <f t="shared" si="1"/>
        <v>15.7</v>
      </c>
      <c r="Q18" s="21">
        <f t="shared" si="2"/>
        <v>0.10416666666666669</v>
      </c>
      <c r="R18" s="21">
        <f t="shared" si="9"/>
        <v>0.92708333333333326</v>
      </c>
      <c r="S18" s="29"/>
      <c r="T18" s="11"/>
      <c r="U18" s="18">
        <f t="shared" si="10"/>
        <v>0</v>
      </c>
      <c r="V18" s="29"/>
      <c r="W18" s="18">
        <f t="shared" si="7"/>
        <v>0</v>
      </c>
      <c r="X18" s="11">
        <f t="shared" si="3"/>
        <v>0</v>
      </c>
      <c r="Y18" s="18">
        <f t="shared" si="11"/>
        <v>0</v>
      </c>
      <c r="Z18" s="18">
        <f t="shared" si="4"/>
        <v>0</v>
      </c>
      <c r="AA18" s="11"/>
      <c r="AB18" s="11"/>
      <c r="AC18" s="30"/>
      <c r="AD18" s="29"/>
      <c r="AE18" s="30"/>
      <c r="AF18" s="30"/>
      <c r="AG18" s="30"/>
      <c r="AH18" s="19">
        <f t="shared" si="12"/>
        <v>0</v>
      </c>
    </row>
    <row r="19" spans="1:34" ht="13">
      <c r="A19" s="6" t="s">
        <v>39</v>
      </c>
      <c r="B19" s="32">
        <v>37080</v>
      </c>
      <c r="C19" s="5" t="s">
        <v>91</v>
      </c>
      <c r="D19" s="6" t="s">
        <v>92</v>
      </c>
      <c r="E19" s="4" t="s">
        <v>93</v>
      </c>
      <c r="F19" s="5">
        <v>152</v>
      </c>
      <c r="G19" s="17">
        <f t="shared" si="8"/>
        <v>2664</v>
      </c>
      <c r="H19" s="11">
        <f>ROUND(PRODUCT(G19/16),0)</f>
        <v>167</v>
      </c>
      <c r="I19" s="11">
        <f>ROUND(PRODUCT(G19/COUNT(F4:F19)),0)</f>
        <v>167</v>
      </c>
      <c r="J19" s="41">
        <v>0.29166666666666669</v>
      </c>
      <c r="K19" s="21">
        <f t="shared" si="5"/>
        <v>5.541666666666667</v>
      </c>
      <c r="L19" s="45">
        <f t="shared" si="0"/>
        <v>21.7</v>
      </c>
      <c r="M19" s="36"/>
      <c r="N19" s="41">
        <v>0.35416666666666669</v>
      </c>
      <c r="O19" s="21">
        <f t="shared" si="6"/>
        <v>6.53125</v>
      </c>
      <c r="P19" s="45">
        <f t="shared" si="1"/>
        <v>17.899999999999999</v>
      </c>
      <c r="Q19" s="21">
        <f t="shared" si="2"/>
        <v>6.25E-2</v>
      </c>
      <c r="R19" s="21">
        <f t="shared" si="9"/>
        <v>0.98958333333333326</v>
      </c>
      <c r="S19" s="11"/>
      <c r="T19" s="11"/>
      <c r="U19" s="18">
        <f t="shared" si="10"/>
        <v>0</v>
      </c>
      <c r="V19" s="29"/>
      <c r="W19" s="18">
        <f t="shared" si="7"/>
        <v>0</v>
      </c>
      <c r="X19" s="11">
        <f t="shared" si="3"/>
        <v>0</v>
      </c>
      <c r="Y19" s="18">
        <f t="shared" si="11"/>
        <v>0</v>
      </c>
      <c r="Z19" s="18">
        <f t="shared" si="4"/>
        <v>0</v>
      </c>
      <c r="AA19" s="11"/>
      <c r="AB19" s="11"/>
      <c r="AC19" s="30"/>
      <c r="AD19" s="29"/>
      <c r="AE19" s="30"/>
      <c r="AF19" s="30"/>
      <c r="AG19" s="30"/>
      <c r="AH19" s="19">
        <f t="shared" si="12"/>
        <v>0</v>
      </c>
    </row>
    <row r="20" spans="1:34" ht="13">
      <c r="A20" s="6" t="s">
        <v>40</v>
      </c>
      <c r="B20" s="32">
        <v>37081</v>
      </c>
      <c r="C20" s="5" t="s">
        <v>93</v>
      </c>
      <c r="D20" s="6" t="s">
        <v>94</v>
      </c>
      <c r="E20" s="4" t="s">
        <v>95</v>
      </c>
      <c r="F20" s="5">
        <v>209</v>
      </c>
      <c r="G20" s="17">
        <f t="shared" si="8"/>
        <v>2873</v>
      </c>
      <c r="H20" s="11">
        <f>ROUND(PRODUCT(G20/17),0)</f>
        <v>169</v>
      </c>
      <c r="I20" s="11">
        <f>ROUND(PRODUCT(G20/COUNT(F4:F20)),0)</f>
        <v>169</v>
      </c>
      <c r="J20" s="41">
        <v>0.375</v>
      </c>
      <c r="K20" s="21">
        <f t="shared" si="5"/>
        <v>5.916666666666667</v>
      </c>
      <c r="L20" s="45">
        <f t="shared" si="0"/>
        <v>23.2</v>
      </c>
      <c r="M20" s="36"/>
      <c r="N20" s="41">
        <v>0.4375</v>
      </c>
      <c r="O20" s="21">
        <f t="shared" si="6"/>
        <v>6.96875</v>
      </c>
      <c r="P20" s="45">
        <f t="shared" si="1"/>
        <v>19.899999999999999</v>
      </c>
      <c r="Q20" s="21">
        <f t="shared" si="2"/>
        <v>6.25E-2</v>
      </c>
      <c r="R20" s="21">
        <f t="shared" si="9"/>
        <v>1.0520833333333333</v>
      </c>
      <c r="S20" s="11"/>
      <c r="T20" s="11"/>
      <c r="U20" s="18">
        <f t="shared" si="10"/>
        <v>0</v>
      </c>
      <c r="V20" s="29"/>
      <c r="W20" s="18">
        <f t="shared" si="7"/>
        <v>0</v>
      </c>
      <c r="X20" s="11">
        <f t="shared" si="3"/>
        <v>0</v>
      </c>
      <c r="Y20" s="18">
        <f t="shared" si="11"/>
        <v>0</v>
      </c>
      <c r="Z20" s="18">
        <f t="shared" si="4"/>
        <v>0</v>
      </c>
      <c r="AA20" s="11"/>
      <c r="AB20" s="11"/>
      <c r="AC20" s="30"/>
      <c r="AD20" s="29"/>
      <c r="AE20" s="30"/>
      <c r="AF20" s="30"/>
      <c r="AG20" s="30"/>
      <c r="AH20" s="19">
        <f t="shared" si="12"/>
        <v>0</v>
      </c>
    </row>
    <row r="21" spans="1:34" ht="13">
      <c r="A21" s="6" t="s">
        <v>41</v>
      </c>
      <c r="B21" s="32">
        <v>37082</v>
      </c>
      <c r="C21" s="5" t="s">
        <v>95</v>
      </c>
      <c r="D21" s="6" t="s">
        <v>96</v>
      </c>
      <c r="E21" s="4" t="s">
        <v>97</v>
      </c>
      <c r="F21" s="5">
        <v>152</v>
      </c>
      <c r="G21" s="17">
        <f t="shared" si="8"/>
        <v>3025</v>
      </c>
      <c r="H21" s="11">
        <f>ROUND(PRODUCT(G21/18),0)</f>
        <v>168</v>
      </c>
      <c r="I21" s="11">
        <f>ROUND(PRODUCT(G21/COUNT(F4:F21)),0)</f>
        <v>168</v>
      </c>
      <c r="J21" s="41">
        <v>0.29166666666666669</v>
      </c>
      <c r="K21" s="21">
        <f t="shared" si="5"/>
        <v>6.2083333333333339</v>
      </c>
      <c r="L21" s="45">
        <f t="shared" si="0"/>
        <v>21.7</v>
      </c>
      <c r="M21" s="37"/>
      <c r="N21" s="41">
        <v>0.33333333333333331</v>
      </c>
      <c r="O21" s="21">
        <f t="shared" si="6"/>
        <v>7.302083333333333</v>
      </c>
      <c r="P21" s="45">
        <f t="shared" si="1"/>
        <v>19</v>
      </c>
      <c r="Q21" s="21">
        <f t="shared" si="2"/>
        <v>4.166666666666663E-2</v>
      </c>
      <c r="R21" s="21">
        <f t="shared" si="9"/>
        <v>1.09375</v>
      </c>
      <c r="S21" s="29"/>
      <c r="T21" s="29"/>
      <c r="U21" s="18">
        <f t="shared" si="10"/>
        <v>0</v>
      </c>
      <c r="V21" s="29"/>
      <c r="W21" s="18">
        <f t="shared" si="7"/>
        <v>0</v>
      </c>
      <c r="X21" s="11">
        <f t="shared" si="3"/>
        <v>0</v>
      </c>
      <c r="Y21" s="18">
        <f t="shared" si="11"/>
        <v>0</v>
      </c>
      <c r="Z21" s="18">
        <f t="shared" si="4"/>
        <v>0</v>
      </c>
      <c r="AA21" s="29"/>
      <c r="AB21" s="29"/>
      <c r="AC21" s="30"/>
      <c r="AD21" s="29"/>
      <c r="AE21" s="30"/>
      <c r="AF21" s="30"/>
      <c r="AG21" s="30"/>
      <c r="AH21" s="19">
        <f t="shared" si="12"/>
        <v>0</v>
      </c>
    </row>
    <row r="22" spans="1:34" ht="13">
      <c r="A22" s="6" t="s">
        <v>42</v>
      </c>
      <c r="B22" s="32">
        <v>37083</v>
      </c>
      <c r="C22" s="5" t="s">
        <v>97</v>
      </c>
      <c r="D22" s="6"/>
      <c r="E22" s="4" t="s">
        <v>98</v>
      </c>
      <c r="F22" s="5">
        <v>133</v>
      </c>
      <c r="G22" s="17">
        <f t="shared" si="8"/>
        <v>3158</v>
      </c>
      <c r="H22" s="11">
        <f>ROUND(PRODUCT(G22/19),0)</f>
        <v>166</v>
      </c>
      <c r="I22" s="11">
        <f>ROUND(PRODUCT(G22/COUNT(F4:F22)),0)</f>
        <v>166</v>
      </c>
      <c r="J22" s="41">
        <v>0.29166666666666669</v>
      </c>
      <c r="K22" s="21">
        <f t="shared" si="5"/>
        <v>6.5000000000000009</v>
      </c>
      <c r="L22" s="45">
        <f t="shared" si="0"/>
        <v>19</v>
      </c>
      <c r="M22" s="37"/>
      <c r="N22" s="41">
        <v>0.3125</v>
      </c>
      <c r="O22" s="21">
        <f t="shared" si="6"/>
        <v>7.614583333333333</v>
      </c>
      <c r="P22" s="45">
        <f t="shared" si="1"/>
        <v>17.7</v>
      </c>
      <c r="Q22" s="21">
        <f t="shared" si="2"/>
        <v>2.0833333333333315E-2</v>
      </c>
      <c r="R22" s="21">
        <f t="shared" si="9"/>
        <v>1.1145833333333333</v>
      </c>
      <c r="S22" s="29"/>
      <c r="T22" s="29"/>
      <c r="U22" s="18">
        <f t="shared" si="10"/>
        <v>0</v>
      </c>
      <c r="V22" s="29"/>
      <c r="W22" s="18">
        <f t="shared" si="7"/>
        <v>0</v>
      </c>
      <c r="X22" s="11">
        <f t="shared" si="3"/>
        <v>0</v>
      </c>
      <c r="Y22" s="18">
        <f t="shared" si="11"/>
        <v>0</v>
      </c>
      <c r="Z22" s="18">
        <f t="shared" si="4"/>
        <v>0</v>
      </c>
      <c r="AA22" s="29"/>
      <c r="AB22" s="29"/>
      <c r="AC22" s="30"/>
      <c r="AD22" s="29"/>
      <c r="AE22" s="30"/>
      <c r="AF22" s="30"/>
      <c r="AG22" s="30"/>
      <c r="AH22" s="19">
        <f t="shared" si="12"/>
        <v>0</v>
      </c>
    </row>
    <row r="23" spans="1:34" ht="13">
      <c r="A23" s="46" t="s">
        <v>45</v>
      </c>
      <c r="B23" s="32">
        <v>37084</v>
      </c>
      <c r="C23" s="5" t="s">
        <v>98</v>
      </c>
      <c r="D23" s="6" t="s">
        <v>99</v>
      </c>
      <c r="E23" s="4" t="s">
        <v>100</v>
      </c>
      <c r="F23" s="5">
        <v>198</v>
      </c>
      <c r="G23" s="17">
        <f t="shared" si="8"/>
        <v>3356</v>
      </c>
      <c r="H23" s="11">
        <f>ROUND(PRODUCT(G23/20),0)</f>
        <v>168</v>
      </c>
      <c r="I23" s="11">
        <f>ROUND(PRODUCT(G23/COUNT(F4:F23)),0)</f>
        <v>168</v>
      </c>
      <c r="J23" s="41">
        <v>0.5</v>
      </c>
      <c r="K23" s="21">
        <f t="shared" si="5"/>
        <v>7.0000000000000009</v>
      </c>
      <c r="L23" s="45">
        <f t="shared" si="0"/>
        <v>16.5</v>
      </c>
      <c r="M23" s="37"/>
      <c r="N23" s="41">
        <v>0.5625</v>
      </c>
      <c r="O23" s="21">
        <f t="shared" si="6"/>
        <v>8.1770833333333321</v>
      </c>
      <c r="P23" s="45">
        <f t="shared" si="1"/>
        <v>14.7</v>
      </c>
      <c r="Q23" s="21">
        <f t="shared" si="2"/>
        <v>6.25E-2</v>
      </c>
      <c r="R23" s="21">
        <f t="shared" si="9"/>
        <v>1.1770833333333333</v>
      </c>
      <c r="S23" s="29"/>
      <c r="T23" s="29"/>
      <c r="U23" s="18">
        <f t="shared" si="10"/>
        <v>0</v>
      </c>
      <c r="V23" s="29"/>
      <c r="W23" s="18">
        <f t="shared" si="7"/>
        <v>0</v>
      </c>
      <c r="X23" s="11">
        <f t="shared" si="3"/>
        <v>0</v>
      </c>
      <c r="Y23" s="18">
        <f t="shared" si="11"/>
        <v>0</v>
      </c>
      <c r="Z23" s="18">
        <f t="shared" si="4"/>
        <v>0</v>
      </c>
      <c r="AA23" s="29"/>
      <c r="AB23" s="29"/>
      <c r="AC23" s="30"/>
      <c r="AD23" s="29"/>
      <c r="AE23" s="30"/>
      <c r="AF23" s="30"/>
      <c r="AG23" s="30"/>
      <c r="AH23" s="19">
        <f t="shared" si="12"/>
        <v>0</v>
      </c>
    </row>
    <row r="24" spans="1:34" ht="13">
      <c r="A24" s="46" t="s">
        <v>46</v>
      </c>
      <c r="B24" s="32">
        <v>37085</v>
      </c>
      <c r="C24" s="5" t="s">
        <v>100</v>
      </c>
      <c r="D24" s="6" t="s">
        <v>101</v>
      </c>
      <c r="E24" s="4" t="s">
        <v>102</v>
      </c>
      <c r="F24" s="5">
        <v>40</v>
      </c>
      <c r="G24" s="17">
        <f t="shared" si="8"/>
        <v>3396</v>
      </c>
      <c r="H24" s="11">
        <f>ROUND(PRODUCT(G24/21),0)</f>
        <v>162</v>
      </c>
      <c r="I24" s="11">
        <f>ROUND(PRODUCT(G24/COUNT(F4:F24)),0)</f>
        <v>162</v>
      </c>
      <c r="J24" s="41">
        <v>0.10416666666666667</v>
      </c>
      <c r="K24" s="21">
        <f t="shared" si="5"/>
        <v>7.1041666666666679</v>
      </c>
      <c r="L24" s="45">
        <f t="shared" si="0"/>
        <v>16</v>
      </c>
      <c r="M24" s="37"/>
      <c r="N24" s="41">
        <v>0.125</v>
      </c>
      <c r="O24" s="21">
        <f t="shared" si="6"/>
        <v>8.3020833333333321</v>
      </c>
      <c r="P24" s="45">
        <f t="shared" si="1"/>
        <v>13.3</v>
      </c>
      <c r="Q24" s="21">
        <f t="shared" si="2"/>
        <v>2.0833333333333329E-2</v>
      </c>
      <c r="R24" s="21">
        <f t="shared" si="9"/>
        <v>1.1979166666666665</v>
      </c>
      <c r="S24" s="29"/>
      <c r="T24" s="29"/>
      <c r="U24" s="18">
        <f t="shared" si="10"/>
        <v>0</v>
      </c>
      <c r="V24" s="29"/>
      <c r="W24" s="18">
        <f t="shared" si="7"/>
        <v>0</v>
      </c>
      <c r="X24" s="11">
        <f t="shared" si="3"/>
        <v>0</v>
      </c>
      <c r="Y24" s="18">
        <f t="shared" si="11"/>
        <v>0</v>
      </c>
      <c r="Z24" s="18">
        <f t="shared" si="4"/>
        <v>0</v>
      </c>
      <c r="AA24" s="29"/>
      <c r="AB24" s="29"/>
      <c r="AC24" s="30"/>
      <c r="AD24" s="29"/>
      <c r="AE24" s="30"/>
      <c r="AF24" s="30"/>
      <c r="AG24" s="30"/>
      <c r="AH24" s="19">
        <f t="shared" si="12"/>
        <v>0</v>
      </c>
    </row>
    <row r="25" spans="1:34" ht="13">
      <c r="A25" s="46" t="s">
        <v>47</v>
      </c>
      <c r="B25" s="32">
        <v>37086</v>
      </c>
      <c r="C25" s="5" t="s">
        <v>98</v>
      </c>
      <c r="D25" s="6"/>
      <c r="E25" s="4" t="s">
        <v>103</v>
      </c>
      <c r="F25" s="5">
        <v>179</v>
      </c>
      <c r="G25" s="17">
        <f t="shared" si="8"/>
        <v>3575</v>
      </c>
      <c r="H25" s="11">
        <f>ROUND(PRODUCT(G25/22),0)</f>
        <v>163</v>
      </c>
      <c r="I25" s="11">
        <f>ROUND(PRODUCT(G25/COUNT(F4:F25)),0)</f>
        <v>163</v>
      </c>
      <c r="J25" s="41">
        <v>0.39583333333333331</v>
      </c>
      <c r="K25" s="21">
        <f t="shared" si="5"/>
        <v>7.5000000000000009</v>
      </c>
      <c r="L25" s="45">
        <f t="shared" si="0"/>
        <v>18.8</v>
      </c>
      <c r="M25" s="37"/>
      <c r="N25" s="41">
        <v>0.4375</v>
      </c>
      <c r="O25" s="21">
        <f t="shared" si="6"/>
        <v>8.7395833333333321</v>
      </c>
      <c r="P25" s="45">
        <f t="shared" si="1"/>
        <v>17</v>
      </c>
      <c r="Q25" s="21">
        <f t="shared" si="2"/>
        <v>4.1666666666666685E-2</v>
      </c>
      <c r="R25" s="21">
        <f t="shared" si="9"/>
        <v>1.2395833333333333</v>
      </c>
      <c r="S25" s="29"/>
      <c r="T25" s="29"/>
      <c r="U25" s="18">
        <f t="shared" si="10"/>
        <v>0</v>
      </c>
      <c r="V25" s="29"/>
      <c r="W25" s="18">
        <f t="shared" si="7"/>
        <v>0</v>
      </c>
      <c r="X25" s="11">
        <f t="shared" si="3"/>
        <v>0</v>
      </c>
      <c r="Y25" s="18">
        <f t="shared" si="11"/>
        <v>0</v>
      </c>
      <c r="Z25" s="18">
        <f t="shared" si="4"/>
        <v>0</v>
      </c>
      <c r="AA25" s="29"/>
      <c r="AB25" s="29"/>
      <c r="AC25" s="30"/>
      <c r="AD25" s="29"/>
      <c r="AE25" s="30"/>
      <c r="AF25" s="30"/>
      <c r="AG25" s="30"/>
      <c r="AH25" s="19">
        <f t="shared" si="12"/>
        <v>0</v>
      </c>
    </row>
    <row r="26" spans="1:34" ht="13">
      <c r="A26" s="46" t="s">
        <v>48</v>
      </c>
      <c r="B26" s="32">
        <v>37087</v>
      </c>
      <c r="C26" s="5" t="s">
        <v>103</v>
      </c>
      <c r="D26" s="6" t="s">
        <v>104</v>
      </c>
      <c r="E26" s="4" t="s">
        <v>105</v>
      </c>
      <c r="F26" s="5">
        <v>170</v>
      </c>
      <c r="G26" s="17">
        <f t="shared" si="8"/>
        <v>3745</v>
      </c>
      <c r="H26" s="11">
        <f>ROUND(PRODUCT(G26/23),0)</f>
        <v>163</v>
      </c>
      <c r="I26" s="11">
        <f>ROUND(PRODUCT(G26/COUNT(F4:F26)),0)</f>
        <v>163</v>
      </c>
      <c r="J26" s="41">
        <v>0.39583333333333331</v>
      </c>
      <c r="K26" s="21">
        <f t="shared" si="5"/>
        <v>7.8958333333333339</v>
      </c>
      <c r="L26" s="45">
        <f t="shared" si="0"/>
        <v>17.899999999999999</v>
      </c>
      <c r="M26" s="37"/>
      <c r="N26" s="41">
        <v>0.5</v>
      </c>
      <c r="O26" s="21">
        <f t="shared" si="6"/>
        <v>9.2395833333333321</v>
      </c>
      <c r="P26" s="45">
        <f t="shared" si="1"/>
        <v>14.2</v>
      </c>
      <c r="Q26" s="21">
        <f t="shared" si="2"/>
        <v>0.10416666666666669</v>
      </c>
      <c r="R26" s="21">
        <f t="shared" si="9"/>
        <v>1.34375</v>
      </c>
      <c r="S26" s="29"/>
      <c r="T26" s="29"/>
      <c r="U26" s="18">
        <f t="shared" si="10"/>
        <v>0</v>
      </c>
      <c r="V26" s="29"/>
      <c r="W26" s="18">
        <f t="shared" si="7"/>
        <v>0</v>
      </c>
      <c r="X26" s="11">
        <f t="shared" si="3"/>
        <v>0</v>
      </c>
      <c r="Y26" s="18">
        <f t="shared" si="11"/>
        <v>0</v>
      </c>
      <c r="Z26" s="18">
        <f t="shared" si="4"/>
        <v>0</v>
      </c>
      <c r="AA26" s="29"/>
      <c r="AB26" s="29"/>
      <c r="AC26" s="30"/>
      <c r="AD26" s="29"/>
      <c r="AE26" s="30"/>
      <c r="AF26" s="30"/>
      <c r="AG26" s="30"/>
      <c r="AH26" s="19">
        <f t="shared" si="12"/>
        <v>0</v>
      </c>
    </row>
    <row r="27" spans="1:34" ht="13">
      <c r="A27" s="46" t="s">
        <v>49</v>
      </c>
      <c r="B27" s="32">
        <v>37088</v>
      </c>
      <c r="C27" s="5" t="s">
        <v>105</v>
      </c>
      <c r="D27" s="6"/>
      <c r="E27" s="4" t="s">
        <v>106</v>
      </c>
      <c r="F27" s="5">
        <v>120</v>
      </c>
      <c r="G27" s="17">
        <f t="shared" si="8"/>
        <v>3865</v>
      </c>
      <c r="H27" s="11">
        <f>ROUND(PRODUCT(G27/24),0)</f>
        <v>161</v>
      </c>
      <c r="I27" s="11">
        <f>ROUND(PRODUCT(G27/COUNT(F4:F27)),0)</f>
        <v>161</v>
      </c>
      <c r="J27" s="41">
        <v>0.29166666666666669</v>
      </c>
      <c r="K27" s="21">
        <f t="shared" si="5"/>
        <v>8.1875</v>
      </c>
      <c r="L27" s="45">
        <f t="shared" si="0"/>
        <v>17.100000000000001</v>
      </c>
      <c r="M27" s="37"/>
      <c r="N27" s="41">
        <v>0.375</v>
      </c>
      <c r="O27" s="21">
        <f t="shared" si="6"/>
        <v>9.6145833333333321</v>
      </c>
      <c r="P27" s="45">
        <f t="shared" si="1"/>
        <v>13.3</v>
      </c>
      <c r="Q27" s="21">
        <f t="shared" si="2"/>
        <v>8.3333333333333315E-2</v>
      </c>
      <c r="R27" s="21">
        <f t="shared" si="9"/>
        <v>1.4270833333333333</v>
      </c>
      <c r="S27" s="29"/>
      <c r="T27" s="29"/>
      <c r="U27" s="18">
        <f t="shared" si="10"/>
        <v>0</v>
      </c>
      <c r="V27" s="29"/>
      <c r="W27" s="18">
        <f t="shared" si="7"/>
        <v>0</v>
      </c>
      <c r="X27" s="11">
        <f t="shared" si="3"/>
        <v>0</v>
      </c>
      <c r="Y27" s="18">
        <f t="shared" si="11"/>
        <v>0</v>
      </c>
      <c r="Z27" s="18">
        <f t="shared" si="4"/>
        <v>0</v>
      </c>
      <c r="AA27" s="29"/>
      <c r="AB27" s="29"/>
      <c r="AC27" s="30"/>
      <c r="AD27" s="29"/>
      <c r="AE27" s="30"/>
      <c r="AF27" s="30"/>
      <c r="AG27" s="30"/>
      <c r="AH27" s="19">
        <f t="shared" si="12"/>
        <v>0</v>
      </c>
    </row>
    <row r="28" spans="1:34" ht="13">
      <c r="A28" s="46" t="s">
        <v>50</v>
      </c>
      <c r="B28" s="32">
        <v>37089</v>
      </c>
      <c r="C28" s="5" t="s">
        <v>106</v>
      </c>
      <c r="D28" s="6" t="s">
        <v>107</v>
      </c>
      <c r="E28" s="4" t="s">
        <v>108</v>
      </c>
      <c r="F28" s="5">
        <v>142</v>
      </c>
      <c r="G28" s="17">
        <f t="shared" si="8"/>
        <v>4007</v>
      </c>
      <c r="H28" s="11">
        <f>ROUND(PRODUCT(G28/25),0)</f>
        <v>160</v>
      </c>
      <c r="I28" s="11">
        <f>ROUND(PRODUCT(G28/COUNT(F4:F28)),0)</f>
        <v>160</v>
      </c>
      <c r="J28" s="41">
        <v>0.3125</v>
      </c>
      <c r="K28" s="21">
        <f t="shared" si="5"/>
        <v>8.5</v>
      </c>
      <c r="L28" s="45">
        <f t="shared" si="0"/>
        <v>18.899999999999999</v>
      </c>
      <c r="M28" s="37"/>
      <c r="N28" s="41">
        <v>0.52083333333333337</v>
      </c>
      <c r="O28" s="21">
        <f t="shared" si="6"/>
        <v>10.135416666666666</v>
      </c>
      <c r="P28" s="45">
        <f t="shared" si="1"/>
        <v>11.4</v>
      </c>
      <c r="Q28" s="21">
        <f t="shared" si="2"/>
        <v>0.20833333333333337</v>
      </c>
      <c r="R28" s="21">
        <f t="shared" si="9"/>
        <v>1.6354166666666665</v>
      </c>
      <c r="S28" s="29"/>
      <c r="T28" s="29"/>
      <c r="U28" s="18">
        <f t="shared" si="10"/>
        <v>0</v>
      </c>
      <c r="V28" s="29"/>
      <c r="W28" s="18">
        <f t="shared" si="7"/>
        <v>0</v>
      </c>
      <c r="X28" s="11">
        <f t="shared" si="3"/>
        <v>0</v>
      </c>
      <c r="Y28" s="18">
        <f t="shared" si="11"/>
        <v>0</v>
      </c>
      <c r="Z28" s="18">
        <f t="shared" si="4"/>
        <v>0</v>
      </c>
      <c r="AA28" s="29"/>
      <c r="AB28" s="29"/>
      <c r="AC28" s="30"/>
      <c r="AD28" s="29"/>
      <c r="AE28" s="30"/>
      <c r="AF28" s="30"/>
      <c r="AG28" s="30"/>
      <c r="AH28" s="19">
        <f t="shared" si="12"/>
        <v>0</v>
      </c>
    </row>
    <row r="29" spans="1:34" ht="13">
      <c r="A29" s="46" t="s">
        <v>51</v>
      </c>
      <c r="B29" s="32">
        <v>37090</v>
      </c>
      <c r="C29" s="5" t="s">
        <v>108</v>
      </c>
      <c r="D29" s="6" t="s">
        <v>109</v>
      </c>
      <c r="E29" s="4" t="s">
        <v>110</v>
      </c>
      <c r="F29" s="5">
        <v>137</v>
      </c>
      <c r="G29" s="17">
        <f t="shared" si="8"/>
        <v>4144</v>
      </c>
      <c r="H29" s="11">
        <f>ROUND(PRODUCT(G29/26),0)</f>
        <v>159</v>
      </c>
      <c r="I29" s="11">
        <f>ROUND(PRODUCT(G29/COUNT(F4:F29)),0)</f>
        <v>159</v>
      </c>
      <c r="J29" s="41">
        <v>0.29166666666666669</v>
      </c>
      <c r="K29" s="21">
        <f t="shared" si="5"/>
        <v>8.7916666666666661</v>
      </c>
      <c r="L29" s="45">
        <f t="shared" si="0"/>
        <v>19.600000000000001</v>
      </c>
      <c r="M29" s="37"/>
      <c r="N29" s="41">
        <v>0.33333333333333331</v>
      </c>
      <c r="O29" s="21">
        <f t="shared" si="6"/>
        <v>10.46875</v>
      </c>
      <c r="P29" s="45">
        <f t="shared" si="1"/>
        <v>17.100000000000001</v>
      </c>
      <c r="Q29" s="21">
        <f t="shared" si="2"/>
        <v>4.166666666666663E-2</v>
      </c>
      <c r="R29" s="21">
        <f t="shared" si="9"/>
        <v>1.677083333333333</v>
      </c>
      <c r="S29" s="29"/>
      <c r="T29" s="29"/>
      <c r="U29" s="18">
        <f t="shared" si="10"/>
        <v>0</v>
      </c>
      <c r="V29" s="29"/>
      <c r="W29" s="18">
        <f t="shared" si="7"/>
        <v>0</v>
      </c>
      <c r="X29" s="11">
        <f t="shared" si="3"/>
        <v>0</v>
      </c>
      <c r="Y29" s="18">
        <f t="shared" si="11"/>
        <v>0</v>
      </c>
      <c r="Z29" s="18">
        <f t="shared" si="4"/>
        <v>0</v>
      </c>
      <c r="AA29" s="29"/>
      <c r="AB29" s="29"/>
      <c r="AC29" s="30"/>
      <c r="AD29" s="29"/>
      <c r="AE29" s="30"/>
      <c r="AF29" s="30"/>
      <c r="AG29" s="30"/>
      <c r="AH29" s="19">
        <f t="shared" si="12"/>
        <v>0</v>
      </c>
    </row>
    <row r="30" spans="1:34" ht="13">
      <c r="A30" s="31" t="s">
        <v>6</v>
      </c>
      <c r="B30" s="56"/>
      <c r="C30" s="57"/>
      <c r="D30" s="57"/>
      <c r="E30" s="58"/>
      <c r="F30" s="33">
        <f>SUM(F4:F29)</f>
        <v>4144</v>
      </c>
      <c r="G30" s="22">
        <f>SUM(G29)</f>
        <v>4144</v>
      </c>
      <c r="H30" s="22">
        <f>SUM(H29)</f>
        <v>159</v>
      </c>
      <c r="I30" s="22">
        <f>SUM(I29)</f>
        <v>159</v>
      </c>
      <c r="J30" s="23">
        <f>SUM(J4:J29)</f>
        <v>8.7916666666666661</v>
      </c>
      <c r="K30" s="39">
        <f>F30/SUM(HOUR(J30)+(ROUNDDOWN(J30,0)*24),PRODUCT(MINUTE(J30)/60))</f>
        <v>19.639810426540283</v>
      </c>
      <c r="L30" s="44">
        <f>SUM(L4:L29)/COUNT(F4:F29)</f>
        <v>19.657692307692308</v>
      </c>
      <c r="M30" s="48" t="e">
        <f>PRODUCT(SUM(M4:M29),1/COUNT(M4:M29))</f>
        <v>#DIV/0!</v>
      </c>
      <c r="N30" s="23">
        <f>SUM(N4:N29)</f>
        <v>10.46875</v>
      </c>
      <c r="O30" s="39">
        <f>F30/SUM(HOUR(N30)+(ROUNDDOWN(N30,0)*24),PRODUCT(MINUTE(N30)/60))</f>
        <v>16.493532338308459</v>
      </c>
      <c r="P30" s="44">
        <f>SUM(P4:P29)/COUNT(F4:F29)</f>
        <v>16.623076923076919</v>
      </c>
      <c r="Q30" s="23">
        <f>SUM(Q4:Q29)</f>
        <v>1.677083333333333</v>
      </c>
      <c r="R30" s="22"/>
      <c r="S30" s="22" t="e">
        <f>ROUND(SUM(S4:S29)/COUNT(S4:S29),0)</f>
        <v>#DIV/0!</v>
      </c>
      <c r="T30" s="22" t="e">
        <f>ROUND(SUM(T4:T29)/COUNT(T4:T29),0)</f>
        <v>#DIV/0!</v>
      </c>
      <c r="U30" s="24">
        <f>SUM(U4:U29)</f>
        <v>0</v>
      </c>
      <c r="V30" s="22" t="e">
        <f>ROUND(SUM(V4:V29)/COUNT(V4:V29),0)</f>
        <v>#DIV/0!</v>
      </c>
      <c r="W30" s="22">
        <f>SUM(W29)</f>
        <v>0</v>
      </c>
      <c r="X30" s="22" t="e">
        <f>ROUND(SUM(X4:X29)/COUNT(V4:V29),0)</f>
        <v>#DIV/0!</v>
      </c>
      <c r="Y30" s="22">
        <f>SUM(Y29)</f>
        <v>0</v>
      </c>
      <c r="Z30" s="24">
        <f>SUM(Z4:Z29)</f>
        <v>0</v>
      </c>
      <c r="AA30" s="22" t="e">
        <f>ROUND(SUM(AA4:AA29)/COUNT(AA4:AA29),0)</f>
        <v>#DIV/0!</v>
      </c>
      <c r="AB30" s="38" t="e">
        <f t="shared" ref="AB30:AG30" si="13">SUM(AB4:AB29)/COUNT(AB4:AB29)</f>
        <v>#DIV/0!</v>
      </c>
      <c r="AC30" s="38" t="e">
        <f t="shared" si="13"/>
        <v>#DIV/0!</v>
      </c>
      <c r="AD30" s="38" t="e">
        <f t="shared" si="13"/>
        <v>#DIV/0!</v>
      </c>
      <c r="AE30" s="38" t="e">
        <f t="shared" si="13"/>
        <v>#DIV/0!</v>
      </c>
      <c r="AF30" s="38" t="e">
        <f t="shared" si="13"/>
        <v>#DIV/0!</v>
      </c>
      <c r="AG30" s="38" t="e">
        <f t="shared" si="13"/>
        <v>#DIV/0!</v>
      </c>
      <c r="AH30" s="38" t="e">
        <f>SUM(AH4:AH29)/COUNT(AG4:AG29)</f>
        <v>#DIV/0!</v>
      </c>
    </row>
    <row r="31" spans="1:34" ht="13">
      <c r="Q31" s="11"/>
      <c r="R31" s="11"/>
      <c r="S31" s="11"/>
      <c r="W31" s="18"/>
      <c r="Y31" s="18"/>
    </row>
    <row r="32" spans="1:34" ht="13">
      <c r="O32" s="11"/>
      <c r="P32" s="11"/>
      <c r="Q32" s="11"/>
      <c r="R32" s="34"/>
      <c r="S32" s="11"/>
      <c r="T32" s="11"/>
      <c r="U32" s="11"/>
      <c r="V32" s="11"/>
      <c r="W32" s="18"/>
      <c r="X32" s="11"/>
      <c r="Y32" s="18"/>
      <c r="Z32" s="11"/>
      <c r="AA32" s="11"/>
    </row>
    <row r="33" spans="14:27" ht="13">
      <c r="N33" s="43"/>
      <c r="O33" s="11"/>
      <c r="P33" s="11"/>
      <c r="Q33" s="42"/>
      <c r="R33" s="42"/>
      <c r="S33" s="11"/>
      <c r="T33" s="11"/>
      <c r="U33" s="11"/>
      <c r="V33" s="11"/>
      <c r="W33" s="11"/>
      <c r="X33" s="11"/>
      <c r="Y33" s="11"/>
      <c r="Z33" s="11"/>
      <c r="AA33" s="11"/>
    </row>
    <row r="34" spans="14:27" ht="13">
      <c r="O34" s="11"/>
      <c r="P34" s="11"/>
      <c r="Q34" s="42"/>
      <c r="R34" s="42"/>
      <c r="S34" s="11"/>
      <c r="T34" s="11"/>
      <c r="U34" s="11"/>
      <c r="V34" s="11"/>
      <c r="W34" s="11"/>
      <c r="X34" s="11"/>
      <c r="Y34" s="11"/>
      <c r="Z34" s="11"/>
      <c r="AA34" s="11"/>
    </row>
    <row r="35" spans="14:27" ht="13">
      <c r="O35" s="11"/>
      <c r="P35" s="11"/>
      <c r="Q35" s="11"/>
      <c r="R35" s="42"/>
      <c r="S35" s="11"/>
      <c r="T35" s="11"/>
      <c r="U35" s="11"/>
      <c r="V35" s="11"/>
      <c r="W35" s="11"/>
      <c r="X35" s="11"/>
      <c r="Y35" s="11"/>
      <c r="Z35" s="11"/>
      <c r="AA35" s="11"/>
    </row>
    <row r="36" spans="14:27"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</row>
  </sheetData>
  <mergeCells count="4">
    <mergeCell ref="A1:F1"/>
    <mergeCell ref="A2:F2"/>
    <mergeCell ref="G1:AH1"/>
    <mergeCell ref="B30:E30"/>
  </mergeCells>
  <phoneticPr fontId="0" type="noConversion"/>
  <pageMargins left="0.59055118110236227" right="0.39370078740157483" top="0.98425196850393704" bottom="0.98425196850393704" header="0.51181102362204722" footer="0.51181102362204722"/>
  <pageSetup paperSize="9" scale="93" orientation="landscape" r:id="rId1"/>
  <headerFooter alignWithMargins="0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ABEF5-73A8-4938-B4EE-639BA1F3A017}">
  <sheetPr codeName="Tabelle2"/>
  <dimension ref="A1"/>
  <sheetViews>
    <sheetView workbookViewId="0"/>
  </sheetViews>
  <sheetFormatPr baseColWidth="10" defaultRowHeight="12.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BB784-C83B-4660-9E87-4B7CB26CAF97}">
  <sheetPr codeName="Tabelle3"/>
  <dimension ref="A1"/>
  <sheetViews>
    <sheetView workbookViewId="0"/>
  </sheetViews>
  <sheetFormatPr baseColWidth="10" defaultRowHeight="12.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MSCRM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christoph.gocke</dc:creator>
  <cp:lastModifiedBy>Gocke, Christoph</cp:lastModifiedBy>
  <cp:lastPrinted>2008-09-30T19:05:36Z</cp:lastPrinted>
  <dcterms:created xsi:type="dcterms:W3CDTF">2001-02-09T16:25:48Z</dcterms:created>
  <dcterms:modified xsi:type="dcterms:W3CDTF">2025-11-12T19:59:04Z</dcterms:modified>
</cp:coreProperties>
</file>