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EECD4E52-4AEC-4C5B-8468-2B2EABEC6DA4}" xr6:coauthVersionLast="47" xr6:coauthVersionMax="47" xr10:uidLastSave="{00000000-0000-0000-0000-000000000000}"/>
  <bookViews>
    <workbookView xWindow="-110" yWindow="-110" windowWidth="19420" windowHeight="10420" xr2:uid="{FD241E92-717B-4663-86D6-D1CFBF3E85D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P4" i="1"/>
  <c r="Q4" i="1"/>
  <c r="R4" i="1" s="1"/>
  <c r="R5" i="1" s="1"/>
  <c r="U4" i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AH4" i="1"/>
  <c r="G5" i="1"/>
  <c r="H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L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P5" i="1"/>
  <c r="P30" i="1" s="1"/>
  <c r="Q5" i="1"/>
  <c r="U5" i="1"/>
  <c r="U30" i="1" s="1"/>
  <c r="X5" i="1"/>
  <c r="Z5" i="1"/>
  <c r="AH5" i="1"/>
  <c r="AH30" i="1" s="1"/>
  <c r="L6" i="1"/>
  <c r="P6" i="1"/>
  <c r="Q6" i="1"/>
  <c r="Q30" i="1" s="1"/>
  <c r="U6" i="1"/>
  <c r="X6" i="1"/>
  <c r="Z6" i="1"/>
  <c r="AH6" i="1"/>
  <c r="L7" i="1"/>
  <c r="P7" i="1"/>
  <c r="Q7" i="1"/>
  <c r="U7" i="1"/>
  <c r="X7" i="1"/>
  <c r="Z7" i="1" s="1"/>
  <c r="AH7" i="1"/>
  <c r="L8" i="1"/>
  <c r="P8" i="1"/>
  <c r="Q8" i="1"/>
  <c r="U8" i="1"/>
  <c r="X8" i="1"/>
  <c r="Z8" i="1" s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 s="1"/>
  <c r="AH10" i="1"/>
  <c r="L11" i="1"/>
  <c r="L30" i="1" s="1"/>
  <c r="P11" i="1"/>
  <c r="Q11" i="1"/>
  <c r="U11" i="1"/>
  <c r="X11" i="1"/>
  <c r="Z11" i="1" s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 s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 s="1"/>
  <c r="AH18" i="1"/>
  <c r="L19" i="1"/>
  <c r="P19" i="1"/>
  <c r="Q19" i="1"/>
  <c r="U19" i="1"/>
  <c r="X19" i="1"/>
  <c r="Z19" i="1" s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 s="1"/>
  <c r="AH22" i="1"/>
  <c r="L23" i="1"/>
  <c r="P23" i="1"/>
  <c r="Q23" i="1"/>
  <c r="U23" i="1"/>
  <c r="X23" i="1"/>
  <c r="Z23" i="1" s="1"/>
  <c r="AH23" i="1"/>
  <c r="L24" i="1"/>
  <c r="P24" i="1"/>
  <c r="Q24" i="1"/>
  <c r="U24" i="1"/>
  <c r="X24" i="1"/>
  <c r="Z24" i="1" s="1"/>
  <c r="AH24" i="1"/>
  <c r="L25" i="1"/>
  <c r="P25" i="1"/>
  <c r="Q25" i="1"/>
  <c r="U25" i="1"/>
  <c r="X25" i="1"/>
  <c r="Z25" i="1"/>
  <c r="AH25" i="1"/>
  <c r="L26" i="1"/>
  <c r="P26" i="1"/>
  <c r="Q26" i="1"/>
  <c r="U26" i="1"/>
  <c r="X26" i="1"/>
  <c r="Z26" i="1" s="1"/>
  <c r="AH26" i="1"/>
  <c r="L27" i="1"/>
  <c r="P27" i="1"/>
  <c r="Q27" i="1"/>
  <c r="U27" i="1"/>
  <c r="X27" i="1"/>
  <c r="Z27" i="1" s="1"/>
  <c r="AH27" i="1"/>
  <c r="L28" i="1"/>
  <c r="P28" i="1"/>
  <c r="Q28" i="1"/>
  <c r="U28" i="1"/>
  <c r="X28" i="1"/>
  <c r="Z28" i="1"/>
  <c r="AH28" i="1"/>
  <c r="L29" i="1"/>
  <c r="P29" i="1"/>
  <c r="Q29" i="1"/>
  <c r="U29" i="1"/>
  <c r="X29" i="1"/>
  <c r="Z29" i="1"/>
  <c r="AH29" i="1"/>
  <c r="F30" i="1"/>
  <c r="K30" i="1" s="1"/>
  <c r="J30" i="1"/>
  <c r="M30" i="1"/>
  <c r="N30" i="1"/>
  <c r="S30" i="1"/>
  <c r="T30" i="1"/>
  <c r="V30" i="1"/>
  <c r="AA30" i="1"/>
  <c r="AB30" i="1"/>
  <c r="AC30" i="1"/>
  <c r="AD30" i="1"/>
  <c r="AE30" i="1"/>
  <c r="AF30" i="1"/>
  <c r="AG30" i="1"/>
  <c r="Z30" i="1" l="1"/>
  <c r="X30" i="1"/>
  <c r="O30" i="1"/>
  <c r="R6" i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G6" i="1"/>
  <c r="I5" i="1"/>
  <c r="G7" i="1" l="1"/>
  <c r="H6" i="1"/>
  <c r="I6" i="1"/>
  <c r="G8" i="1" l="1"/>
  <c r="H7" i="1"/>
  <c r="I7" i="1"/>
  <c r="G9" i="1" l="1"/>
  <c r="H8" i="1"/>
  <c r="I8" i="1"/>
  <c r="G10" i="1" l="1"/>
  <c r="H9" i="1"/>
  <c r="I9" i="1"/>
  <c r="G11" i="1" l="1"/>
  <c r="H10" i="1"/>
  <c r="I10" i="1"/>
  <c r="H11" i="1" l="1"/>
  <c r="I11" i="1"/>
  <c r="G12" i="1"/>
  <c r="H12" i="1" l="1"/>
  <c r="I12" i="1"/>
  <c r="G13" i="1"/>
  <c r="I13" i="1" l="1"/>
  <c r="G14" i="1"/>
  <c r="H13" i="1"/>
  <c r="G15" i="1" l="1"/>
  <c r="I14" i="1"/>
  <c r="H14" i="1"/>
  <c r="G16" i="1" l="1"/>
  <c r="H15" i="1"/>
  <c r="I15" i="1"/>
  <c r="G17" i="1" l="1"/>
  <c r="H16" i="1"/>
  <c r="I16" i="1"/>
  <c r="G18" i="1" l="1"/>
  <c r="H17" i="1"/>
  <c r="I17" i="1"/>
  <c r="G19" i="1" l="1"/>
  <c r="I18" i="1"/>
  <c r="H18" i="1"/>
  <c r="H19" i="1" l="1"/>
  <c r="I19" i="1"/>
  <c r="G20" i="1"/>
  <c r="H20" i="1" l="1"/>
  <c r="I20" i="1"/>
  <c r="G21" i="1"/>
  <c r="I21" i="1" l="1"/>
  <c r="G22" i="1"/>
  <c r="H21" i="1"/>
  <c r="G23" i="1" l="1"/>
  <c r="H22" i="1"/>
  <c r="I22" i="1"/>
  <c r="G24" i="1" l="1"/>
  <c r="H23" i="1"/>
  <c r="I23" i="1"/>
  <c r="G25" i="1" l="1"/>
  <c r="I24" i="1"/>
  <c r="H24" i="1"/>
  <c r="G26" i="1" l="1"/>
  <c r="I25" i="1"/>
  <c r="H25" i="1"/>
  <c r="G27" i="1" l="1"/>
  <c r="H26" i="1"/>
  <c r="I26" i="1"/>
  <c r="H27" i="1" l="1"/>
  <c r="I27" i="1"/>
  <c r="G28" i="1"/>
  <c r="H28" i="1" l="1"/>
  <c r="I28" i="1"/>
  <c r="G29" i="1"/>
  <c r="I29" i="1" l="1"/>
  <c r="I30" i="1" s="1"/>
  <c r="H29" i="1"/>
  <c r="H30" i="1" s="1"/>
  <c r="G30" i="1"/>
</calcChain>
</file>

<file path=xl/sharedStrings.xml><?xml version="1.0" encoding="utf-8"?>
<sst xmlns="http://schemas.openxmlformats.org/spreadsheetml/2006/main" count="120" uniqueCount="95">
  <si>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</si>
  <si>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</si>
  <si>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</si>
  <si>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</si>
  <si>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</si>
  <si>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</si>
  <si>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</si>
  <si>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</si>
  <si>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</si>
  <si>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</si>
  <si>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</si>
  <si>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</si>
  <si>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</si>
  <si>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</si>
  <si>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</si>
  <si>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</si>
  <si>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</si>
  <si>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</si>
  <si>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</si>
  <si>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</si>
  <si>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</si>
  <si>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</si>
  <si>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</si>
  <si>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</si>
  <si>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</si>
  <si>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</si>
  <si>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</si>
  <si>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</si>
  <si>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</si>
  <si>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</si>
  <si>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</si>
  <si>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</si>
  <si>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</si>
  <si>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</si>
  <si>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</si>
  <si>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</si>
  <si>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</si>
  <si>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</si>
  <si>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</si>
  <si>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</si>
  <si>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</si>
  <si>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</si>
  <si>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</si>
  <si>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</si>
  <si>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</si>
  <si>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</si>
  <si>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</si>
  <si>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</si>
  <si>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</si>
  <si>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24.</t>
  </si>
  <si>
    <t>25.</t>
  </si>
  <si>
    <t>26.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</si>
  <si>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</si>
  <si>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</si>
  <si>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</si>
  <si>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</si>
  <si>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</si>
  <si>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</si>
  <si>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</si>
  <si>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</si>
  <si>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</si>
  <si>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Jerba - Tripolis - Benghazi - Alexandria - Jerusalem (29.10.-23.11.2001)</t>
  </si>
  <si>
    <r>
      <t>Statistik</t>
    </r>
    <r>
      <rPr>
        <b/>
        <sz val="20"/>
        <rFont val="Arial"/>
        <family val="2"/>
      </rPr>
      <t xml:space="preserve"> Jerba - Tripolis - Benghazi - Alexandria - Jerusalem (29.10.-23.11.2001)</t>
    </r>
  </si>
  <si>
    <t>Jerba Flughafen</t>
  </si>
  <si>
    <t>La Griba - Zarzis</t>
  </si>
  <si>
    <t>Ben Guerdane</t>
  </si>
  <si>
    <t>Grenze Tunesien/Libyen</t>
  </si>
  <si>
    <t>Zuara</t>
  </si>
  <si>
    <t>Sabratha</t>
  </si>
  <si>
    <t>Tripolis</t>
  </si>
  <si>
    <t>Al Khoms</t>
  </si>
  <si>
    <t>Leptis Magna</t>
  </si>
  <si>
    <t>Misratah</t>
  </si>
  <si>
    <t>Sirte</t>
  </si>
  <si>
    <t>Ras Lanuf</t>
  </si>
  <si>
    <t>Ajdabiya</t>
  </si>
  <si>
    <t>Benghazi</t>
  </si>
  <si>
    <t>Al Marj</t>
  </si>
  <si>
    <t>Al Bayda</t>
  </si>
  <si>
    <t>Cyrene - Apollonia</t>
  </si>
  <si>
    <t>Darnah</t>
  </si>
  <si>
    <t>Tubruq</t>
  </si>
  <si>
    <t>Grenze Libyen/Ägypten</t>
  </si>
  <si>
    <t>Sallum</t>
  </si>
  <si>
    <t>Sidi Barrani</t>
  </si>
  <si>
    <t>Marsa Matruh</t>
  </si>
  <si>
    <t>El Alamein</t>
  </si>
  <si>
    <t>Alexandria</t>
  </si>
  <si>
    <t>Tanta</t>
  </si>
  <si>
    <t>Zagazig - Abu Kebir</t>
  </si>
  <si>
    <t>El Qantara</t>
  </si>
  <si>
    <t>El Arish</t>
  </si>
  <si>
    <t>Grenze Ägypten/Israel</t>
  </si>
  <si>
    <t>Ashqelon</t>
  </si>
  <si>
    <t>Jerusalem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</si>
</sst>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FC1B-BB7F-41D4-8276-BE0EEFE6E91B}">
  <sheetPr codeName="Tabelle1"/>
  <dimension ref="A1:AH36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61</v>
      </c>
      <c r="B1" s="50"/>
      <c r="C1" s="50"/>
      <c r="D1" s="50"/>
      <c r="E1" s="50"/>
      <c r="F1" s="51"/>
      <c r="G1" s="53" t="s">
        <v>62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44</v>
      </c>
      <c r="M3" s="25" t="s">
        <v>25</v>
      </c>
      <c r="N3" s="25" t="s">
        <v>14</v>
      </c>
      <c r="O3" s="26" t="s">
        <v>33</v>
      </c>
      <c r="P3" s="25" t="s">
        <v>43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7" t="s">
        <v>52</v>
      </c>
      <c r="B4" s="32">
        <v>37193</v>
      </c>
      <c r="C4" s="5" t="s">
        <v>63</v>
      </c>
      <c r="D4" s="6" t="s">
        <v>64</v>
      </c>
      <c r="E4" s="4" t="s">
        <v>65</v>
      </c>
      <c r="F4" s="5">
        <v>112</v>
      </c>
      <c r="G4" s="13">
        <f>SUM(F4)</f>
        <v>112</v>
      </c>
      <c r="H4" s="14">
        <f>ROUND(PRODUCT(G4/1),0)</f>
        <v>112</v>
      </c>
      <c r="I4" s="14">
        <f>ROUND(PRODUCT(G4/COUNT(F4:F4)),0)</f>
        <v>112</v>
      </c>
      <c r="J4" s="40">
        <v>0.27083333333333331</v>
      </c>
      <c r="K4" s="20">
        <f>SUM(J4)</f>
        <v>0.27083333333333331</v>
      </c>
      <c r="L4" s="45">
        <f t="shared" ref="L4:L29" si="0">IF(F4=0,0,ROUND(PRODUCT(F4/SUM(HOUR(J4),PRODUCT(MINUTE(J4)/60))),1))</f>
        <v>17.2</v>
      </c>
      <c r="M4" s="35"/>
      <c r="N4" s="40">
        <v>0.3125</v>
      </c>
      <c r="O4" s="20">
        <f>SUM(N4)</f>
        <v>0.3125</v>
      </c>
      <c r="P4" s="45">
        <f t="shared" ref="P4:P29" si="1">IF(F4=0,0,ROUND(PRODUCT(F4/SUM(HOUR(N4),PRODUCT(MINUTE(N4)/60))),1))</f>
        <v>14.9</v>
      </c>
      <c r="Q4" s="20">
        <f t="shared" ref="Q4:Q29" si="2">SUM(N4,-J4)</f>
        <v>4.1666666666666685E-2</v>
      </c>
      <c r="R4" s="20">
        <f>SUM(Q4)</f>
        <v>4.1666666666666685E-2</v>
      </c>
      <c r="S4" s="14"/>
      <c r="T4" s="11"/>
      <c r="U4" s="15">
        <f>SUM(-S4,T4)</f>
        <v>0</v>
      </c>
      <c r="V4" s="14"/>
      <c r="W4" s="15">
        <f>SUM(V4)</f>
        <v>0</v>
      </c>
      <c r="X4" s="14">
        <f t="shared" ref="X4:X29" si="3">SUM(S4,-T4,V4)</f>
        <v>0</v>
      </c>
      <c r="Y4" s="15">
        <f>SUM(X4)</f>
        <v>0</v>
      </c>
      <c r="Z4" s="15">
        <f t="shared" ref="Z4:Z29" si="4">SUM(V4,-X4)</f>
        <v>0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7" t="s">
        <v>53</v>
      </c>
      <c r="B5" s="32">
        <v>37194</v>
      </c>
      <c r="C5" s="5" t="s">
        <v>65</v>
      </c>
      <c r="D5" s="6" t="s">
        <v>66</v>
      </c>
      <c r="E5" s="4" t="s">
        <v>67</v>
      </c>
      <c r="F5" s="5">
        <v>98</v>
      </c>
      <c r="G5" s="17">
        <f>SUM(G4,F5)</f>
        <v>210</v>
      </c>
      <c r="H5" s="11">
        <f>ROUND(PRODUCT(G5/2),0)</f>
        <v>105</v>
      </c>
      <c r="I5" s="11">
        <f>ROUND(PRODUCT(G5/COUNT(F4:F5)),0)</f>
        <v>105</v>
      </c>
      <c r="J5" s="41">
        <v>0.20833333333333334</v>
      </c>
      <c r="K5" s="21">
        <f t="shared" ref="K5:K29" si="5">SUM(J5,K4)</f>
        <v>0.47916666666666663</v>
      </c>
      <c r="L5" s="45">
        <f t="shared" si="0"/>
        <v>19.600000000000001</v>
      </c>
      <c r="M5" s="36"/>
      <c r="N5" s="41">
        <v>0.375</v>
      </c>
      <c r="O5" s="21">
        <f t="shared" ref="O5:O29" si="6">SUM(N5,O4)</f>
        <v>0.6875</v>
      </c>
      <c r="P5" s="45">
        <f t="shared" si="1"/>
        <v>10.9</v>
      </c>
      <c r="Q5" s="21">
        <f t="shared" si="2"/>
        <v>0.16666666666666666</v>
      </c>
      <c r="R5" s="21">
        <f>SUM(Q5,R4)</f>
        <v>0.20833333333333334</v>
      </c>
      <c r="S5" s="11"/>
      <c r="T5" s="11"/>
      <c r="U5" s="18">
        <f>SUM(-S5,T5)</f>
        <v>0</v>
      </c>
      <c r="V5" s="29"/>
      <c r="W5" s="18">
        <f t="shared" ref="W5:W29" si="7">SUM(W4,V5)</f>
        <v>0</v>
      </c>
      <c r="X5" s="11">
        <f t="shared" si="3"/>
        <v>0</v>
      </c>
      <c r="Y5" s="18">
        <f>SUM(Y4,X5)</f>
        <v>0</v>
      </c>
      <c r="Z5" s="18">
        <f t="shared" si="4"/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7" t="s">
        <v>54</v>
      </c>
      <c r="B6" s="32">
        <v>37195</v>
      </c>
      <c r="C6" s="5" t="s">
        <v>67</v>
      </c>
      <c r="D6" s="6" t="s">
        <v>68</v>
      </c>
      <c r="E6" s="4" t="s">
        <v>69</v>
      </c>
      <c r="F6" s="5">
        <v>121</v>
      </c>
      <c r="G6" s="17">
        <f t="shared" ref="G6:G29" si="8">SUM(G5,F6)</f>
        <v>331</v>
      </c>
      <c r="H6" s="11">
        <f>ROUND(PRODUCT(G6/3),0)</f>
        <v>110</v>
      </c>
      <c r="I6" s="11">
        <f>ROUND(PRODUCT(G6/COUNT(F4:F6)),0)</f>
        <v>110</v>
      </c>
      <c r="J6" s="41">
        <v>0.25</v>
      </c>
      <c r="K6" s="21">
        <f t="shared" si="5"/>
        <v>0.72916666666666663</v>
      </c>
      <c r="L6" s="45">
        <f t="shared" si="0"/>
        <v>20.2</v>
      </c>
      <c r="M6" s="36"/>
      <c r="N6" s="41">
        <v>0.33333333333333331</v>
      </c>
      <c r="O6" s="21">
        <f t="shared" si="6"/>
        <v>1.0208333333333333</v>
      </c>
      <c r="P6" s="45">
        <f t="shared" si="1"/>
        <v>15.1</v>
      </c>
      <c r="Q6" s="21">
        <f t="shared" si="2"/>
        <v>8.3333333333333315E-2</v>
      </c>
      <c r="R6" s="21">
        <f t="shared" ref="R6:R29" si="9">SUM(Q6,R5)</f>
        <v>0.29166666666666663</v>
      </c>
      <c r="S6" s="11"/>
      <c r="T6" s="29"/>
      <c r="U6" s="18">
        <f t="shared" ref="U6:U29" si="10">SUM(-S6,T6)</f>
        <v>0</v>
      </c>
      <c r="V6" s="29"/>
      <c r="W6" s="18">
        <f t="shared" si="7"/>
        <v>0</v>
      </c>
      <c r="X6" s="11">
        <f t="shared" si="3"/>
        <v>0</v>
      </c>
      <c r="Y6" s="18">
        <f t="shared" ref="Y6:Y29" si="11">SUM(Y5,X6)</f>
        <v>0</v>
      </c>
      <c r="Z6" s="18">
        <f t="shared" si="4"/>
        <v>0</v>
      </c>
      <c r="AA6" s="11"/>
      <c r="AB6" s="11"/>
      <c r="AC6" s="30"/>
      <c r="AD6" s="29"/>
      <c r="AE6" s="30"/>
      <c r="AF6" s="30"/>
      <c r="AG6" s="30"/>
      <c r="AH6" s="19">
        <f t="shared" ref="AH6:AH29" si="12">SUM(AG6,-AF6)</f>
        <v>0</v>
      </c>
    </row>
    <row r="7" spans="1:34" ht="13">
      <c r="A7" s="47" t="s">
        <v>55</v>
      </c>
      <c r="B7" s="32">
        <v>37196</v>
      </c>
      <c r="C7" s="5" t="s">
        <v>69</v>
      </c>
      <c r="D7" s="6"/>
      <c r="E7" s="4" t="s">
        <v>70</v>
      </c>
      <c r="F7" s="5">
        <v>125</v>
      </c>
      <c r="G7" s="17">
        <f t="shared" si="8"/>
        <v>456</v>
      </c>
      <c r="H7" s="11">
        <f>ROUND(PRODUCT(G7/4),0)</f>
        <v>114</v>
      </c>
      <c r="I7" s="11">
        <f>ROUND(PRODUCT(G7/COUNT(F4:F7)),0)</f>
        <v>114</v>
      </c>
      <c r="J7" s="41">
        <v>0.22916666666666666</v>
      </c>
      <c r="K7" s="21">
        <f t="shared" si="5"/>
        <v>0.95833333333333326</v>
      </c>
      <c r="L7" s="45">
        <f t="shared" si="0"/>
        <v>22.7</v>
      </c>
      <c r="M7" s="37"/>
      <c r="N7" s="41">
        <v>0.25</v>
      </c>
      <c r="O7" s="21">
        <f t="shared" si="6"/>
        <v>1.2708333333333333</v>
      </c>
      <c r="P7" s="45">
        <f t="shared" si="1"/>
        <v>20.8</v>
      </c>
      <c r="Q7" s="21">
        <f t="shared" si="2"/>
        <v>2.0833333333333343E-2</v>
      </c>
      <c r="R7" s="21">
        <f t="shared" si="9"/>
        <v>0.3125</v>
      </c>
      <c r="S7" s="29"/>
      <c r="T7" s="29"/>
      <c r="U7" s="18">
        <f t="shared" si="10"/>
        <v>0</v>
      </c>
      <c r="V7" s="29"/>
      <c r="W7" s="18">
        <f t="shared" si="7"/>
        <v>0</v>
      </c>
      <c r="X7" s="11">
        <f t="shared" si="3"/>
        <v>0</v>
      </c>
      <c r="Y7" s="18">
        <f t="shared" si="11"/>
        <v>0</v>
      </c>
      <c r="Z7" s="18">
        <f t="shared" si="4"/>
        <v>0</v>
      </c>
      <c r="AA7" s="29"/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13">
      <c r="A8" s="47" t="s">
        <v>56</v>
      </c>
      <c r="B8" s="32">
        <v>37197</v>
      </c>
      <c r="C8" s="5" t="s">
        <v>70</v>
      </c>
      <c r="D8" s="6" t="s">
        <v>71</v>
      </c>
      <c r="E8" s="4" t="s">
        <v>72</v>
      </c>
      <c r="F8" s="5">
        <v>94</v>
      </c>
      <c r="G8" s="17">
        <f t="shared" si="8"/>
        <v>550</v>
      </c>
      <c r="H8" s="11">
        <f>ROUND(PRODUCT(G8/5),0)</f>
        <v>110</v>
      </c>
      <c r="I8" s="11">
        <f>ROUND(PRODUCT(G8/COUNT(F4:F8)),0)</f>
        <v>110</v>
      </c>
      <c r="J8" s="41">
        <v>0.16666666666666666</v>
      </c>
      <c r="K8" s="21">
        <f t="shared" si="5"/>
        <v>1.125</v>
      </c>
      <c r="L8" s="45">
        <f t="shared" si="0"/>
        <v>23.5</v>
      </c>
      <c r="M8" s="37"/>
      <c r="N8" s="41">
        <v>0.29166666666666669</v>
      </c>
      <c r="O8" s="21">
        <f t="shared" si="6"/>
        <v>1.5625</v>
      </c>
      <c r="P8" s="45">
        <f t="shared" si="1"/>
        <v>13.4</v>
      </c>
      <c r="Q8" s="21">
        <f t="shared" si="2"/>
        <v>0.12500000000000003</v>
      </c>
      <c r="R8" s="21">
        <f t="shared" si="9"/>
        <v>0.4375</v>
      </c>
      <c r="S8" s="29"/>
      <c r="T8" s="29"/>
      <c r="U8" s="18">
        <f t="shared" si="10"/>
        <v>0</v>
      </c>
      <c r="V8" s="29"/>
      <c r="W8" s="18">
        <f t="shared" si="7"/>
        <v>0</v>
      </c>
      <c r="X8" s="11">
        <f t="shared" si="3"/>
        <v>0</v>
      </c>
      <c r="Y8" s="18">
        <f t="shared" si="11"/>
        <v>0</v>
      </c>
      <c r="Z8" s="18">
        <f t="shared" si="4"/>
        <v>0</v>
      </c>
      <c r="AA8" s="29"/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13">
      <c r="A9" s="47" t="s">
        <v>57</v>
      </c>
      <c r="B9" s="32">
        <v>37198</v>
      </c>
      <c r="C9" s="5" t="s">
        <v>72</v>
      </c>
      <c r="D9" s="6"/>
      <c r="E9" s="4" t="s">
        <v>73</v>
      </c>
      <c r="F9" s="5">
        <v>257</v>
      </c>
      <c r="G9" s="17">
        <f t="shared" si="8"/>
        <v>807</v>
      </c>
      <c r="H9" s="11">
        <f>ROUND(PRODUCT(G9/6),0)</f>
        <v>135</v>
      </c>
      <c r="I9" s="11">
        <f>ROUND(PRODUCT(G9/COUNT(F4:F9)),0)</f>
        <v>135</v>
      </c>
      <c r="J9" s="41">
        <v>0.41666666666666669</v>
      </c>
      <c r="K9" s="21">
        <f t="shared" si="5"/>
        <v>1.5416666666666667</v>
      </c>
      <c r="L9" s="45">
        <f t="shared" si="0"/>
        <v>25.7</v>
      </c>
      <c r="M9" s="37"/>
      <c r="N9" s="41">
        <v>0.45833333333333331</v>
      </c>
      <c r="O9" s="21">
        <f t="shared" si="6"/>
        <v>2.0208333333333335</v>
      </c>
      <c r="P9" s="45">
        <f t="shared" si="1"/>
        <v>23.4</v>
      </c>
      <c r="Q9" s="21">
        <f t="shared" si="2"/>
        <v>4.166666666666663E-2</v>
      </c>
      <c r="R9" s="21">
        <f t="shared" si="9"/>
        <v>0.47916666666666663</v>
      </c>
      <c r="S9" s="29"/>
      <c r="T9" s="29"/>
      <c r="U9" s="18">
        <f t="shared" si="10"/>
        <v>0</v>
      </c>
      <c r="V9" s="29"/>
      <c r="W9" s="18">
        <f t="shared" si="7"/>
        <v>0</v>
      </c>
      <c r="X9" s="11">
        <f t="shared" si="3"/>
        <v>0</v>
      </c>
      <c r="Y9" s="18">
        <f t="shared" si="11"/>
        <v>0</v>
      </c>
      <c r="Z9" s="18">
        <f t="shared" si="4"/>
        <v>0</v>
      </c>
      <c r="AA9" s="29"/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47" t="s">
        <v>58</v>
      </c>
      <c r="B10" s="32">
        <v>37199</v>
      </c>
      <c r="C10" s="5"/>
      <c r="D10" s="6" t="s">
        <v>73</v>
      </c>
      <c r="E10" s="4"/>
      <c r="F10" s="5"/>
      <c r="G10" s="17">
        <f t="shared" si="8"/>
        <v>807</v>
      </c>
      <c r="H10" s="11">
        <f>ROUND(PRODUCT(G10/7),0)</f>
        <v>115</v>
      </c>
      <c r="I10" s="11">
        <f>ROUND(PRODUCT(G10/COUNT(F4:F10)),0)</f>
        <v>135</v>
      </c>
      <c r="J10" s="41"/>
      <c r="K10" s="21">
        <f t="shared" si="5"/>
        <v>1.5416666666666667</v>
      </c>
      <c r="L10" s="45">
        <f t="shared" si="0"/>
        <v>0</v>
      </c>
      <c r="M10" s="36"/>
      <c r="N10" s="41"/>
      <c r="O10" s="21">
        <f t="shared" si="6"/>
        <v>2.0208333333333335</v>
      </c>
      <c r="P10" s="45">
        <f t="shared" si="1"/>
        <v>0</v>
      </c>
      <c r="Q10" s="21">
        <f t="shared" si="2"/>
        <v>0</v>
      </c>
      <c r="R10" s="21">
        <f t="shared" si="9"/>
        <v>0.47916666666666663</v>
      </c>
      <c r="S10" s="29"/>
      <c r="T10" s="11"/>
      <c r="U10" s="18">
        <f t="shared" si="10"/>
        <v>0</v>
      </c>
      <c r="V10" s="29"/>
      <c r="W10" s="18">
        <f t="shared" si="7"/>
        <v>0</v>
      </c>
      <c r="X10" s="11">
        <f t="shared" si="3"/>
        <v>0</v>
      </c>
      <c r="Y10" s="18">
        <f t="shared" si="11"/>
        <v>0</v>
      </c>
      <c r="Z10" s="18">
        <f t="shared" si="4"/>
        <v>0</v>
      </c>
      <c r="AA10" s="11"/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6" t="s">
        <v>59</v>
      </c>
      <c r="B11" s="32">
        <v>37200</v>
      </c>
      <c r="C11" s="5" t="s">
        <v>73</v>
      </c>
      <c r="D11" s="6"/>
      <c r="E11" s="4" t="s">
        <v>74</v>
      </c>
      <c r="F11" s="5">
        <v>206</v>
      </c>
      <c r="G11" s="17">
        <f t="shared" si="8"/>
        <v>1013</v>
      </c>
      <c r="H11" s="11">
        <f>ROUND(PRODUCT(G11/8),0)</f>
        <v>127</v>
      </c>
      <c r="I11" s="11">
        <f>ROUND(PRODUCT(G11/COUNT(F4:F11)),0)</f>
        <v>145</v>
      </c>
      <c r="J11" s="41">
        <v>0.3125</v>
      </c>
      <c r="K11" s="21">
        <f t="shared" si="5"/>
        <v>1.8541666666666667</v>
      </c>
      <c r="L11" s="45">
        <f t="shared" si="0"/>
        <v>27.5</v>
      </c>
      <c r="M11" s="37"/>
      <c r="N11" s="41">
        <v>0.33333333333333331</v>
      </c>
      <c r="O11" s="21">
        <f t="shared" si="6"/>
        <v>2.354166666666667</v>
      </c>
      <c r="P11" s="45">
        <f t="shared" si="1"/>
        <v>25.8</v>
      </c>
      <c r="Q11" s="21">
        <f t="shared" si="2"/>
        <v>2.0833333333333315E-2</v>
      </c>
      <c r="R11" s="21">
        <f t="shared" si="9"/>
        <v>0.49999999999999994</v>
      </c>
      <c r="S11" s="29"/>
      <c r="T11" s="29"/>
      <c r="U11" s="18">
        <f t="shared" si="10"/>
        <v>0</v>
      </c>
      <c r="V11" s="29"/>
      <c r="W11" s="18">
        <f t="shared" si="7"/>
        <v>0</v>
      </c>
      <c r="X11" s="11">
        <f t="shared" si="3"/>
        <v>0</v>
      </c>
      <c r="Y11" s="18">
        <f t="shared" si="11"/>
        <v>0</v>
      </c>
      <c r="Z11" s="18">
        <f t="shared" si="4"/>
        <v>0</v>
      </c>
      <c r="AA11" s="29"/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13">
      <c r="A12" s="6" t="s">
        <v>60</v>
      </c>
      <c r="B12" s="32">
        <v>37201</v>
      </c>
      <c r="C12" s="5" t="s">
        <v>74</v>
      </c>
      <c r="D12" s="6"/>
      <c r="E12" s="4" t="s">
        <v>75</v>
      </c>
      <c r="F12" s="5">
        <v>218</v>
      </c>
      <c r="G12" s="17">
        <f t="shared" si="8"/>
        <v>1231</v>
      </c>
      <c r="H12" s="11">
        <f>ROUND(PRODUCT(G12/9),0)</f>
        <v>137</v>
      </c>
      <c r="I12" s="11">
        <f>ROUND(PRODUCT(G12/COUNT(F4:F12)),0)</f>
        <v>154</v>
      </c>
      <c r="J12" s="41">
        <v>0.39583333333333331</v>
      </c>
      <c r="K12" s="21">
        <f t="shared" si="5"/>
        <v>2.25</v>
      </c>
      <c r="L12" s="45">
        <f t="shared" si="0"/>
        <v>22.9</v>
      </c>
      <c r="M12" s="36"/>
      <c r="N12" s="41">
        <v>0.45833333333333331</v>
      </c>
      <c r="O12" s="21">
        <f t="shared" si="6"/>
        <v>2.8125000000000004</v>
      </c>
      <c r="P12" s="45">
        <f t="shared" si="1"/>
        <v>19.8</v>
      </c>
      <c r="Q12" s="21">
        <f t="shared" si="2"/>
        <v>6.25E-2</v>
      </c>
      <c r="R12" s="21">
        <f t="shared" si="9"/>
        <v>0.5625</v>
      </c>
      <c r="S12" s="11"/>
      <c r="T12" s="11"/>
      <c r="U12" s="18">
        <f t="shared" si="10"/>
        <v>0</v>
      </c>
      <c r="V12" s="29"/>
      <c r="W12" s="18">
        <f t="shared" si="7"/>
        <v>0</v>
      </c>
      <c r="X12" s="11">
        <f t="shared" si="3"/>
        <v>0</v>
      </c>
      <c r="Y12" s="18">
        <f t="shared" si="11"/>
        <v>0</v>
      </c>
      <c r="Z12" s="18">
        <f t="shared" si="4"/>
        <v>0</v>
      </c>
      <c r="AA12" s="11"/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6" t="s">
        <v>5</v>
      </c>
      <c r="B13" s="32">
        <v>37202</v>
      </c>
      <c r="C13" s="5" t="s">
        <v>75</v>
      </c>
      <c r="D13" s="6"/>
      <c r="E13" s="4" t="s">
        <v>76</v>
      </c>
      <c r="F13" s="5">
        <v>164</v>
      </c>
      <c r="G13" s="17">
        <f t="shared" si="8"/>
        <v>1395</v>
      </c>
      <c r="H13" s="11">
        <f>ROUND(PRODUCT(G13/10),0)</f>
        <v>140</v>
      </c>
      <c r="I13" s="11">
        <f>ROUND(PRODUCT(G13/COUNT(F4:F13)),0)</f>
        <v>155</v>
      </c>
      <c r="J13" s="41">
        <v>0.29166666666666669</v>
      </c>
      <c r="K13" s="21">
        <f t="shared" si="5"/>
        <v>2.5416666666666665</v>
      </c>
      <c r="L13" s="45">
        <f t="shared" si="0"/>
        <v>23.4</v>
      </c>
      <c r="M13" s="37"/>
      <c r="N13" s="41">
        <v>0.33333333333333331</v>
      </c>
      <c r="O13" s="21">
        <f t="shared" si="6"/>
        <v>3.1458333333333339</v>
      </c>
      <c r="P13" s="45">
        <f t="shared" si="1"/>
        <v>20.5</v>
      </c>
      <c r="Q13" s="21">
        <f t="shared" si="2"/>
        <v>4.166666666666663E-2</v>
      </c>
      <c r="R13" s="21">
        <f t="shared" si="9"/>
        <v>0.60416666666666663</v>
      </c>
      <c r="S13" s="29"/>
      <c r="T13" s="29"/>
      <c r="U13" s="18">
        <f t="shared" si="10"/>
        <v>0</v>
      </c>
      <c r="V13" s="29"/>
      <c r="W13" s="18">
        <f t="shared" si="7"/>
        <v>0</v>
      </c>
      <c r="X13" s="11">
        <f t="shared" si="3"/>
        <v>0</v>
      </c>
      <c r="Y13" s="18">
        <f t="shared" si="11"/>
        <v>0</v>
      </c>
      <c r="Z13" s="18">
        <f t="shared" si="4"/>
        <v>0</v>
      </c>
      <c r="AA13" s="29"/>
      <c r="AB13" s="29"/>
      <c r="AC13" s="30"/>
      <c r="AD13" s="29"/>
      <c r="AE13" s="30"/>
      <c r="AF13" s="30"/>
      <c r="AG13" s="30"/>
      <c r="AH13" s="19">
        <f t="shared" si="12"/>
        <v>0</v>
      </c>
    </row>
    <row r="14" spans="1:34" ht="13">
      <c r="A14" s="6" t="s">
        <v>7</v>
      </c>
      <c r="B14" s="32">
        <v>37203</v>
      </c>
      <c r="C14" s="5" t="s">
        <v>76</v>
      </c>
      <c r="D14" s="6"/>
      <c r="E14" s="4" t="s">
        <v>77</v>
      </c>
      <c r="F14" s="5">
        <v>100</v>
      </c>
      <c r="G14" s="17">
        <f t="shared" si="8"/>
        <v>1495</v>
      </c>
      <c r="H14" s="11">
        <f>ROUND(PRODUCT(G14/11),0)</f>
        <v>136</v>
      </c>
      <c r="I14" s="11">
        <f>ROUND(PRODUCT(G14/COUNT(F4:F14)),0)</f>
        <v>150</v>
      </c>
      <c r="J14" s="41">
        <v>0.22916666666666666</v>
      </c>
      <c r="K14" s="21">
        <f t="shared" si="5"/>
        <v>2.770833333333333</v>
      </c>
      <c r="L14" s="45">
        <f t="shared" si="0"/>
        <v>18.2</v>
      </c>
      <c r="M14" s="37"/>
      <c r="N14" s="41">
        <v>0.27083333333333331</v>
      </c>
      <c r="O14" s="21">
        <f t="shared" si="6"/>
        <v>3.4166666666666674</v>
      </c>
      <c r="P14" s="45">
        <f t="shared" si="1"/>
        <v>15.4</v>
      </c>
      <c r="Q14" s="21">
        <f t="shared" si="2"/>
        <v>4.1666666666666657E-2</v>
      </c>
      <c r="R14" s="21">
        <f t="shared" si="9"/>
        <v>0.64583333333333326</v>
      </c>
      <c r="S14" s="29"/>
      <c r="T14" s="29"/>
      <c r="U14" s="18">
        <f t="shared" si="10"/>
        <v>0</v>
      </c>
      <c r="V14" s="29"/>
      <c r="W14" s="18">
        <f t="shared" si="7"/>
        <v>0</v>
      </c>
      <c r="X14" s="11">
        <f t="shared" si="3"/>
        <v>0</v>
      </c>
      <c r="Y14" s="18">
        <f t="shared" si="11"/>
        <v>0</v>
      </c>
      <c r="Z14" s="18">
        <f t="shared" si="4"/>
        <v>0</v>
      </c>
      <c r="AA14" s="29"/>
      <c r="AB14" s="29"/>
      <c r="AC14" s="30"/>
      <c r="AD14" s="29"/>
      <c r="AE14" s="30"/>
      <c r="AF14" s="30"/>
      <c r="AG14" s="30"/>
      <c r="AH14" s="19">
        <f t="shared" si="12"/>
        <v>0</v>
      </c>
    </row>
    <row r="15" spans="1:34" ht="13">
      <c r="A15" s="6" t="s">
        <v>35</v>
      </c>
      <c r="B15" s="32">
        <v>37204</v>
      </c>
      <c r="C15" s="5" t="s">
        <v>77</v>
      </c>
      <c r="D15" s="6"/>
      <c r="E15" s="4" t="s">
        <v>78</v>
      </c>
      <c r="F15" s="5">
        <v>115</v>
      </c>
      <c r="G15" s="17">
        <f t="shared" si="8"/>
        <v>1610</v>
      </c>
      <c r="H15" s="11">
        <f>ROUND(PRODUCT(G15/12),0)</f>
        <v>134</v>
      </c>
      <c r="I15" s="11">
        <f>ROUND(PRODUCT(G15/COUNT(F4:F15)),0)</f>
        <v>146</v>
      </c>
      <c r="J15" s="41">
        <v>0.25</v>
      </c>
      <c r="K15" s="21">
        <f t="shared" si="5"/>
        <v>3.020833333333333</v>
      </c>
      <c r="L15" s="45">
        <f t="shared" si="0"/>
        <v>19.2</v>
      </c>
      <c r="M15" s="36"/>
      <c r="N15" s="41">
        <v>0.3125</v>
      </c>
      <c r="O15" s="21">
        <f t="shared" si="6"/>
        <v>3.7291666666666674</v>
      </c>
      <c r="P15" s="45">
        <f t="shared" si="1"/>
        <v>15.3</v>
      </c>
      <c r="Q15" s="21">
        <f t="shared" si="2"/>
        <v>6.25E-2</v>
      </c>
      <c r="R15" s="21">
        <f t="shared" si="9"/>
        <v>0.70833333333333326</v>
      </c>
      <c r="S15" s="11"/>
      <c r="T15" s="11"/>
      <c r="U15" s="18">
        <f t="shared" si="10"/>
        <v>0</v>
      </c>
      <c r="V15" s="29"/>
      <c r="W15" s="18">
        <f t="shared" si="7"/>
        <v>0</v>
      </c>
      <c r="X15" s="11">
        <f t="shared" si="3"/>
        <v>0</v>
      </c>
      <c r="Y15" s="18">
        <f t="shared" si="11"/>
        <v>0</v>
      </c>
      <c r="Z15" s="18">
        <f t="shared" si="4"/>
        <v>0</v>
      </c>
      <c r="AA15" s="11"/>
      <c r="AB15" s="11"/>
      <c r="AC15" s="30"/>
      <c r="AD15" s="29"/>
      <c r="AE15" s="30"/>
      <c r="AF15" s="30"/>
      <c r="AG15" s="30"/>
      <c r="AH15" s="19">
        <f t="shared" si="12"/>
        <v>0</v>
      </c>
    </row>
    <row r="16" spans="1:34" ht="13">
      <c r="A16" s="6" t="s">
        <v>36</v>
      </c>
      <c r="B16" s="32">
        <v>37205</v>
      </c>
      <c r="C16" s="5" t="s">
        <v>78</v>
      </c>
      <c r="D16" s="6" t="s">
        <v>79</v>
      </c>
      <c r="E16" s="4" t="s">
        <v>80</v>
      </c>
      <c r="F16" s="5">
        <v>118</v>
      </c>
      <c r="G16" s="17">
        <f t="shared" si="8"/>
        <v>1728</v>
      </c>
      <c r="H16" s="11">
        <f>ROUND(PRODUCT(G16/13),0)</f>
        <v>133</v>
      </c>
      <c r="I16" s="11">
        <f>ROUND(PRODUCT(G16/COUNT(F4:F16)),0)</f>
        <v>144</v>
      </c>
      <c r="J16" s="41">
        <v>0.22916666666666666</v>
      </c>
      <c r="K16" s="21">
        <f t="shared" si="5"/>
        <v>3.2499999999999996</v>
      </c>
      <c r="L16" s="45">
        <f t="shared" si="0"/>
        <v>21.5</v>
      </c>
      <c r="M16" s="36"/>
      <c r="N16" s="41">
        <v>0.45833333333333331</v>
      </c>
      <c r="O16" s="21">
        <f t="shared" si="6"/>
        <v>4.1875000000000009</v>
      </c>
      <c r="P16" s="45">
        <f t="shared" si="1"/>
        <v>10.7</v>
      </c>
      <c r="Q16" s="21">
        <f t="shared" si="2"/>
        <v>0.22916666666666666</v>
      </c>
      <c r="R16" s="21">
        <f t="shared" si="9"/>
        <v>0.93749999999999989</v>
      </c>
      <c r="S16" s="11"/>
      <c r="T16" s="11"/>
      <c r="U16" s="18">
        <f t="shared" si="10"/>
        <v>0</v>
      </c>
      <c r="V16" s="29"/>
      <c r="W16" s="18">
        <f t="shared" si="7"/>
        <v>0</v>
      </c>
      <c r="X16" s="11">
        <f t="shared" si="3"/>
        <v>0</v>
      </c>
      <c r="Y16" s="18">
        <f t="shared" si="11"/>
        <v>0</v>
      </c>
      <c r="Z16" s="18">
        <f t="shared" si="4"/>
        <v>0</v>
      </c>
      <c r="AA16" s="11"/>
      <c r="AB16" s="11"/>
      <c r="AC16" s="30"/>
      <c r="AD16" s="29"/>
      <c r="AE16" s="30"/>
      <c r="AF16" s="30"/>
      <c r="AG16" s="30"/>
      <c r="AH16" s="19">
        <f t="shared" si="12"/>
        <v>0</v>
      </c>
    </row>
    <row r="17" spans="1:34" ht="13">
      <c r="A17" s="6" t="s">
        <v>37</v>
      </c>
      <c r="B17" s="32">
        <v>37206</v>
      </c>
      <c r="C17" s="5" t="s">
        <v>80</v>
      </c>
      <c r="D17" s="6"/>
      <c r="E17" s="4" t="s">
        <v>81</v>
      </c>
      <c r="F17" s="5">
        <v>178</v>
      </c>
      <c r="G17" s="17">
        <f t="shared" si="8"/>
        <v>1906</v>
      </c>
      <c r="H17" s="11">
        <f>ROUND(PRODUCT(G17/14),0)</f>
        <v>136</v>
      </c>
      <c r="I17" s="11">
        <f>ROUND(PRODUCT(G17/COUNT(F4:F17)),0)</f>
        <v>147</v>
      </c>
      <c r="J17" s="41">
        <v>0.375</v>
      </c>
      <c r="K17" s="21">
        <f t="shared" si="5"/>
        <v>3.6249999999999996</v>
      </c>
      <c r="L17" s="45">
        <f t="shared" si="0"/>
        <v>19.8</v>
      </c>
      <c r="M17" s="36"/>
      <c r="N17" s="41">
        <v>0.41666666666666669</v>
      </c>
      <c r="O17" s="21">
        <f t="shared" si="6"/>
        <v>4.6041666666666679</v>
      </c>
      <c r="P17" s="45">
        <f t="shared" si="1"/>
        <v>17.8</v>
      </c>
      <c r="Q17" s="21">
        <f t="shared" si="2"/>
        <v>4.1666666666666685E-2</v>
      </c>
      <c r="R17" s="21">
        <f t="shared" si="9"/>
        <v>0.97916666666666652</v>
      </c>
      <c r="S17" s="11"/>
      <c r="T17" s="11"/>
      <c r="U17" s="18">
        <f t="shared" si="10"/>
        <v>0</v>
      </c>
      <c r="V17" s="29"/>
      <c r="W17" s="18">
        <f t="shared" si="7"/>
        <v>0</v>
      </c>
      <c r="X17" s="11">
        <f t="shared" si="3"/>
        <v>0</v>
      </c>
      <c r="Y17" s="18">
        <f t="shared" si="11"/>
        <v>0</v>
      </c>
      <c r="Z17" s="18">
        <f t="shared" si="4"/>
        <v>0</v>
      </c>
      <c r="AA17" s="11"/>
      <c r="AB17" s="11"/>
      <c r="AC17" s="30"/>
      <c r="AD17" s="29"/>
      <c r="AE17" s="30"/>
      <c r="AF17" s="30"/>
      <c r="AG17" s="30"/>
      <c r="AH17" s="19">
        <f t="shared" si="12"/>
        <v>0</v>
      </c>
    </row>
    <row r="18" spans="1:34" ht="13">
      <c r="A18" s="6" t="s">
        <v>38</v>
      </c>
      <c r="B18" s="32">
        <v>37207</v>
      </c>
      <c r="C18" s="5" t="s">
        <v>81</v>
      </c>
      <c r="D18" s="6" t="s">
        <v>82</v>
      </c>
      <c r="E18" s="4" t="s">
        <v>83</v>
      </c>
      <c r="F18" s="5">
        <v>164</v>
      </c>
      <c r="G18" s="17">
        <f t="shared" si="8"/>
        <v>2070</v>
      </c>
      <c r="H18" s="11">
        <f>ROUND(PRODUCT(G18/15),0)</f>
        <v>138</v>
      </c>
      <c r="I18" s="11">
        <f>ROUND(PRODUCT(G18/COUNT(F4:F18)),0)</f>
        <v>148</v>
      </c>
      <c r="J18" s="41">
        <v>0.3125</v>
      </c>
      <c r="K18" s="21">
        <f t="shared" si="5"/>
        <v>3.9374999999999996</v>
      </c>
      <c r="L18" s="45">
        <f t="shared" si="0"/>
        <v>21.9</v>
      </c>
      <c r="M18" s="36"/>
      <c r="N18" s="41">
        <v>0.4375</v>
      </c>
      <c r="O18" s="21">
        <f t="shared" si="6"/>
        <v>5.0416666666666679</v>
      </c>
      <c r="P18" s="45">
        <f t="shared" si="1"/>
        <v>15.6</v>
      </c>
      <c r="Q18" s="21">
        <f t="shared" si="2"/>
        <v>0.125</v>
      </c>
      <c r="R18" s="21">
        <f t="shared" si="9"/>
        <v>1.1041666666666665</v>
      </c>
      <c r="S18" s="29"/>
      <c r="T18" s="11"/>
      <c r="U18" s="18">
        <f t="shared" si="10"/>
        <v>0</v>
      </c>
      <c r="V18" s="29"/>
      <c r="W18" s="18">
        <f t="shared" si="7"/>
        <v>0</v>
      </c>
      <c r="X18" s="11">
        <f t="shared" si="3"/>
        <v>0</v>
      </c>
      <c r="Y18" s="18">
        <f t="shared" si="11"/>
        <v>0</v>
      </c>
      <c r="Z18" s="18">
        <f t="shared" si="4"/>
        <v>0</v>
      </c>
      <c r="AA18" s="11"/>
      <c r="AB18" s="11"/>
      <c r="AC18" s="30"/>
      <c r="AD18" s="29"/>
      <c r="AE18" s="30"/>
      <c r="AF18" s="30"/>
      <c r="AG18" s="30"/>
      <c r="AH18" s="19">
        <f t="shared" si="12"/>
        <v>0</v>
      </c>
    </row>
    <row r="19" spans="1:34" ht="13">
      <c r="A19" s="6" t="s">
        <v>39</v>
      </c>
      <c r="B19" s="32">
        <v>37208</v>
      </c>
      <c r="C19" s="5" t="s">
        <v>83</v>
      </c>
      <c r="D19" s="6"/>
      <c r="E19" s="4" t="s">
        <v>84</v>
      </c>
      <c r="F19" s="5">
        <v>90</v>
      </c>
      <c r="G19" s="17">
        <f t="shared" si="8"/>
        <v>2160</v>
      </c>
      <c r="H19" s="11">
        <f>ROUND(PRODUCT(G19/16),0)</f>
        <v>135</v>
      </c>
      <c r="I19" s="11">
        <f>ROUND(PRODUCT(G19/COUNT(F4:F19)),0)</f>
        <v>144</v>
      </c>
      <c r="J19" s="41">
        <v>0.16666666666666666</v>
      </c>
      <c r="K19" s="21">
        <f t="shared" si="5"/>
        <v>4.1041666666666661</v>
      </c>
      <c r="L19" s="45">
        <f t="shared" si="0"/>
        <v>22.5</v>
      </c>
      <c r="M19" s="36"/>
      <c r="N19" s="41">
        <v>0.16666666666666666</v>
      </c>
      <c r="O19" s="21">
        <f t="shared" si="6"/>
        <v>5.2083333333333348</v>
      </c>
      <c r="P19" s="45">
        <f t="shared" si="1"/>
        <v>22.5</v>
      </c>
      <c r="Q19" s="21">
        <f t="shared" si="2"/>
        <v>0</v>
      </c>
      <c r="R19" s="21">
        <f t="shared" si="9"/>
        <v>1.1041666666666665</v>
      </c>
      <c r="S19" s="11"/>
      <c r="T19" s="11"/>
      <c r="U19" s="18">
        <f t="shared" si="10"/>
        <v>0</v>
      </c>
      <c r="V19" s="29"/>
      <c r="W19" s="18">
        <f t="shared" si="7"/>
        <v>0</v>
      </c>
      <c r="X19" s="11">
        <f t="shared" si="3"/>
        <v>0</v>
      </c>
      <c r="Y19" s="18">
        <f t="shared" si="11"/>
        <v>0</v>
      </c>
      <c r="Z19" s="18">
        <f t="shared" si="4"/>
        <v>0</v>
      </c>
      <c r="AA19" s="11"/>
      <c r="AB19" s="11"/>
      <c r="AC19" s="30"/>
      <c r="AD19" s="29"/>
      <c r="AE19" s="30"/>
      <c r="AF19" s="30"/>
      <c r="AG19" s="30"/>
      <c r="AH19" s="19">
        <f t="shared" si="12"/>
        <v>0</v>
      </c>
    </row>
    <row r="20" spans="1:34" ht="13">
      <c r="A20" s="6" t="s">
        <v>40</v>
      </c>
      <c r="B20" s="32">
        <v>37209</v>
      </c>
      <c r="C20" s="5" t="s">
        <v>84</v>
      </c>
      <c r="D20" s="6"/>
      <c r="E20" s="4" t="s">
        <v>85</v>
      </c>
      <c r="F20" s="5">
        <v>146</v>
      </c>
      <c r="G20" s="17">
        <f t="shared" si="8"/>
        <v>2306</v>
      </c>
      <c r="H20" s="11">
        <f>ROUND(PRODUCT(G20/17),0)</f>
        <v>136</v>
      </c>
      <c r="I20" s="11">
        <f>ROUND(PRODUCT(G20/COUNT(F4:F20)),0)</f>
        <v>144</v>
      </c>
      <c r="J20" s="41">
        <v>0.3125</v>
      </c>
      <c r="K20" s="21">
        <f t="shared" si="5"/>
        <v>4.4166666666666661</v>
      </c>
      <c r="L20" s="45">
        <f t="shared" si="0"/>
        <v>19.5</v>
      </c>
      <c r="M20" s="36"/>
      <c r="N20" s="41">
        <v>0.33333333333333331</v>
      </c>
      <c r="O20" s="21">
        <f t="shared" si="6"/>
        <v>5.5416666666666679</v>
      </c>
      <c r="P20" s="45">
        <f t="shared" si="1"/>
        <v>18.3</v>
      </c>
      <c r="Q20" s="21">
        <f t="shared" si="2"/>
        <v>2.0833333333333315E-2</v>
      </c>
      <c r="R20" s="21">
        <f t="shared" si="9"/>
        <v>1.1249999999999998</v>
      </c>
      <c r="S20" s="11"/>
      <c r="T20" s="11"/>
      <c r="U20" s="18">
        <f t="shared" si="10"/>
        <v>0</v>
      </c>
      <c r="V20" s="29"/>
      <c r="W20" s="18">
        <f t="shared" si="7"/>
        <v>0</v>
      </c>
      <c r="X20" s="11">
        <f t="shared" si="3"/>
        <v>0</v>
      </c>
      <c r="Y20" s="18">
        <f t="shared" si="11"/>
        <v>0</v>
      </c>
      <c r="Z20" s="18">
        <f t="shared" si="4"/>
        <v>0</v>
      </c>
      <c r="AA20" s="11"/>
      <c r="AB20" s="11"/>
      <c r="AC20" s="30"/>
      <c r="AD20" s="29"/>
      <c r="AE20" s="30"/>
      <c r="AF20" s="30"/>
      <c r="AG20" s="30"/>
      <c r="AH20" s="19">
        <f t="shared" si="12"/>
        <v>0</v>
      </c>
    </row>
    <row r="21" spans="1:34" ht="13">
      <c r="A21" s="6" t="s">
        <v>41</v>
      </c>
      <c r="B21" s="32">
        <v>37210</v>
      </c>
      <c r="C21" s="5" t="s">
        <v>85</v>
      </c>
      <c r="D21" s="6"/>
      <c r="E21" s="4" t="s">
        <v>86</v>
      </c>
      <c r="F21" s="5">
        <v>194</v>
      </c>
      <c r="G21" s="17">
        <f t="shared" si="8"/>
        <v>2500</v>
      </c>
      <c r="H21" s="11">
        <f>ROUND(PRODUCT(G21/18),0)</f>
        <v>139</v>
      </c>
      <c r="I21" s="11">
        <f>ROUND(PRODUCT(G21/COUNT(F4:F21)),0)</f>
        <v>147</v>
      </c>
      <c r="J21" s="41">
        <v>0.41666666666666669</v>
      </c>
      <c r="K21" s="21">
        <f t="shared" si="5"/>
        <v>4.833333333333333</v>
      </c>
      <c r="L21" s="45">
        <f t="shared" si="0"/>
        <v>19.399999999999999</v>
      </c>
      <c r="M21" s="37"/>
      <c r="N21" s="41">
        <v>0.47916666666666669</v>
      </c>
      <c r="O21" s="21">
        <f t="shared" si="6"/>
        <v>6.0208333333333348</v>
      </c>
      <c r="P21" s="45">
        <f t="shared" si="1"/>
        <v>16.899999999999999</v>
      </c>
      <c r="Q21" s="21">
        <f t="shared" si="2"/>
        <v>6.25E-2</v>
      </c>
      <c r="R21" s="21">
        <f t="shared" si="9"/>
        <v>1.1874999999999998</v>
      </c>
      <c r="S21" s="29"/>
      <c r="T21" s="29"/>
      <c r="U21" s="18">
        <f t="shared" si="10"/>
        <v>0</v>
      </c>
      <c r="V21" s="29"/>
      <c r="W21" s="18">
        <f t="shared" si="7"/>
        <v>0</v>
      </c>
      <c r="X21" s="11">
        <f t="shared" si="3"/>
        <v>0</v>
      </c>
      <c r="Y21" s="18">
        <f t="shared" si="11"/>
        <v>0</v>
      </c>
      <c r="Z21" s="18">
        <f t="shared" si="4"/>
        <v>0</v>
      </c>
      <c r="AA21" s="29"/>
      <c r="AB21" s="29"/>
      <c r="AC21" s="30"/>
      <c r="AD21" s="29"/>
      <c r="AE21" s="30"/>
      <c r="AF21" s="30"/>
      <c r="AG21" s="30"/>
      <c r="AH21" s="19">
        <f t="shared" si="12"/>
        <v>0</v>
      </c>
    </row>
    <row r="22" spans="1:34" ht="13">
      <c r="A22" s="6" t="s">
        <v>42</v>
      </c>
      <c r="B22" s="32">
        <v>37211</v>
      </c>
      <c r="C22" s="5" t="s">
        <v>86</v>
      </c>
      <c r="D22" s="6"/>
      <c r="E22" s="4" t="s">
        <v>87</v>
      </c>
      <c r="F22" s="5">
        <v>126</v>
      </c>
      <c r="G22" s="17">
        <f t="shared" si="8"/>
        <v>2626</v>
      </c>
      <c r="H22" s="11">
        <f>ROUND(PRODUCT(G22/19),0)</f>
        <v>138</v>
      </c>
      <c r="I22" s="11">
        <f>ROUND(PRODUCT(G22/COUNT(F4:F22)),0)</f>
        <v>146</v>
      </c>
      <c r="J22" s="41">
        <v>0.29166666666666669</v>
      </c>
      <c r="K22" s="21">
        <f t="shared" si="5"/>
        <v>5.125</v>
      </c>
      <c r="L22" s="45">
        <f t="shared" si="0"/>
        <v>18</v>
      </c>
      <c r="M22" s="37"/>
      <c r="N22" s="41">
        <v>0.375</v>
      </c>
      <c r="O22" s="21">
        <f t="shared" si="6"/>
        <v>6.3958333333333348</v>
      </c>
      <c r="P22" s="45">
        <f t="shared" si="1"/>
        <v>14</v>
      </c>
      <c r="Q22" s="21">
        <f t="shared" si="2"/>
        <v>8.3333333333333315E-2</v>
      </c>
      <c r="R22" s="21">
        <f t="shared" si="9"/>
        <v>1.270833333333333</v>
      </c>
      <c r="S22" s="29"/>
      <c r="T22" s="29"/>
      <c r="U22" s="18">
        <f t="shared" si="10"/>
        <v>0</v>
      </c>
      <c r="V22" s="29"/>
      <c r="W22" s="18">
        <f t="shared" si="7"/>
        <v>0</v>
      </c>
      <c r="X22" s="11">
        <f t="shared" si="3"/>
        <v>0</v>
      </c>
      <c r="Y22" s="18">
        <f t="shared" si="11"/>
        <v>0</v>
      </c>
      <c r="Z22" s="18">
        <f t="shared" si="4"/>
        <v>0</v>
      </c>
      <c r="AA22" s="29"/>
      <c r="AB22" s="29"/>
      <c r="AC22" s="30"/>
      <c r="AD22" s="29"/>
      <c r="AE22" s="30"/>
      <c r="AF22" s="30"/>
      <c r="AG22" s="30"/>
      <c r="AH22" s="19">
        <f t="shared" si="12"/>
        <v>0</v>
      </c>
    </row>
    <row r="23" spans="1:34" ht="13">
      <c r="A23" s="46" t="s">
        <v>45</v>
      </c>
      <c r="B23" s="32">
        <v>37212</v>
      </c>
      <c r="C23" s="5"/>
      <c r="D23" s="6" t="s">
        <v>87</v>
      </c>
      <c r="E23" s="4"/>
      <c r="F23" s="5"/>
      <c r="G23" s="17">
        <f t="shared" si="8"/>
        <v>2626</v>
      </c>
      <c r="H23" s="11">
        <f>ROUND(PRODUCT(G23/20),0)</f>
        <v>131</v>
      </c>
      <c r="I23" s="11">
        <f>ROUND(PRODUCT(G23/COUNT(F4:F23)),0)</f>
        <v>146</v>
      </c>
      <c r="J23" s="41"/>
      <c r="K23" s="21">
        <f t="shared" si="5"/>
        <v>5.125</v>
      </c>
      <c r="L23" s="45">
        <f t="shared" si="0"/>
        <v>0</v>
      </c>
      <c r="M23" s="37"/>
      <c r="N23" s="41"/>
      <c r="O23" s="21">
        <f t="shared" si="6"/>
        <v>6.3958333333333348</v>
      </c>
      <c r="P23" s="45">
        <f t="shared" si="1"/>
        <v>0</v>
      </c>
      <c r="Q23" s="21">
        <f t="shared" si="2"/>
        <v>0</v>
      </c>
      <c r="R23" s="21">
        <f t="shared" si="9"/>
        <v>1.270833333333333</v>
      </c>
      <c r="S23" s="29"/>
      <c r="T23" s="29"/>
      <c r="U23" s="18">
        <f t="shared" si="10"/>
        <v>0</v>
      </c>
      <c r="V23" s="29"/>
      <c r="W23" s="18">
        <f t="shared" si="7"/>
        <v>0</v>
      </c>
      <c r="X23" s="11">
        <f t="shared" si="3"/>
        <v>0</v>
      </c>
      <c r="Y23" s="18">
        <f t="shared" si="11"/>
        <v>0</v>
      </c>
      <c r="Z23" s="18">
        <f t="shared" si="4"/>
        <v>0</v>
      </c>
      <c r="AA23" s="29"/>
      <c r="AB23" s="29"/>
      <c r="AC23" s="30"/>
      <c r="AD23" s="29"/>
      <c r="AE23" s="30"/>
      <c r="AF23" s="30"/>
      <c r="AG23" s="30"/>
      <c r="AH23" s="19">
        <f t="shared" si="12"/>
        <v>0</v>
      </c>
    </row>
    <row r="24" spans="1:34" ht="13">
      <c r="A24" s="46" t="s">
        <v>46</v>
      </c>
      <c r="B24" s="32">
        <v>37213</v>
      </c>
      <c r="C24" s="5"/>
      <c r="D24" s="6" t="s">
        <v>87</v>
      </c>
      <c r="E24" s="4"/>
      <c r="F24" s="5"/>
      <c r="G24" s="17">
        <f t="shared" si="8"/>
        <v>2626</v>
      </c>
      <c r="H24" s="11">
        <f>ROUND(PRODUCT(G24/21),0)</f>
        <v>125</v>
      </c>
      <c r="I24" s="11">
        <f>ROUND(PRODUCT(G24/COUNT(F4:F24)),0)</f>
        <v>146</v>
      </c>
      <c r="J24" s="41"/>
      <c r="K24" s="21">
        <f t="shared" si="5"/>
        <v>5.125</v>
      </c>
      <c r="L24" s="45">
        <f t="shared" si="0"/>
        <v>0</v>
      </c>
      <c r="M24" s="37"/>
      <c r="N24" s="41"/>
      <c r="O24" s="21">
        <f t="shared" si="6"/>
        <v>6.3958333333333348</v>
      </c>
      <c r="P24" s="45">
        <f t="shared" si="1"/>
        <v>0</v>
      </c>
      <c r="Q24" s="21">
        <f t="shared" si="2"/>
        <v>0</v>
      </c>
      <c r="R24" s="21">
        <f t="shared" si="9"/>
        <v>1.270833333333333</v>
      </c>
      <c r="S24" s="29"/>
      <c r="T24" s="29"/>
      <c r="U24" s="18">
        <f t="shared" si="10"/>
        <v>0</v>
      </c>
      <c r="V24" s="29"/>
      <c r="W24" s="18">
        <f t="shared" si="7"/>
        <v>0</v>
      </c>
      <c r="X24" s="11">
        <f t="shared" si="3"/>
        <v>0</v>
      </c>
      <c r="Y24" s="18">
        <f t="shared" si="11"/>
        <v>0</v>
      </c>
      <c r="Z24" s="18">
        <f t="shared" si="4"/>
        <v>0</v>
      </c>
      <c r="AA24" s="29"/>
      <c r="AB24" s="29"/>
      <c r="AC24" s="30"/>
      <c r="AD24" s="29"/>
      <c r="AE24" s="30"/>
      <c r="AF24" s="30"/>
      <c r="AG24" s="30"/>
      <c r="AH24" s="19">
        <f t="shared" si="12"/>
        <v>0</v>
      </c>
    </row>
    <row r="25" spans="1:34" ht="13">
      <c r="A25" s="46" t="s">
        <v>47</v>
      </c>
      <c r="B25" s="32">
        <v>37214</v>
      </c>
      <c r="C25" s="5" t="s">
        <v>87</v>
      </c>
      <c r="D25" s="6"/>
      <c r="E25" s="4" t="s">
        <v>88</v>
      </c>
      <c r="F25" s="5">
        <v>131</v>
      </c>
      <c r="G25" s="17">
        <f t="shared" si="8"/>
        <v>2757</v>
      </c>
      <c r="H25" s="11">
        <f>ROUND(PRODUCT(G25/22),0)</f>
        <v>125</v>
      </c>
      <c r="I25" s="11">
        <f>ROUND(PRODUCT(G25/COUNT(F4:F25)),0)</f>
        <v>145</v>
      </c>
      <c r="J25" s="41">
        <v>0.27083333333333331</v>
      </c>
      <c r="K25" s="21">
        <f t="shared" si="5"/>
        <v>5.395833333333333</v>
      </c>
      <c r="L25" s="45">
        <f t="shared" si="0"/>
        <v>20.2</v>
      </c>
      <c r="M25" s="37"/>
      <c r="N25" s="41">
        <v>0.29166666666666669</v>
      </c>
      <c r="O25" s="21">
        <f t="shared" si="6"/>
        <v>6.6875000000000018</v>
      </c>
      <c r="P25" s="45">
        <f t="shared" si="1"/>
        <v>18.7</v>
      </c>
      <c r="Q25" s="21">
        <f t="shared" si="2"/>
        <v>2.083333333333337E-2</v>
      </c>
      <c r="R25" s="21">
        <f t="shared" si="9"/>
        <v>1.2916666666666665</v>
      </c>
      <c r="S25" s="29"/>
      <c r="T25" s="29"/>
      <c r="U25" s="18">
        <f t="shared" si="10"/>
        <v>0</v>
      </c>
      <c r="V25" s="29"/>
      <c r="W25" s="18">
        <f t="shared" si="7"/>
        <v>0</v>
      </c>
      <c r="X25" s="11">
        <f t="shared" si="3"/>
        <v>0</v>
      </c>
      <c r="Y25" s="18">
        <f t="shared" si="11"/>
        <v>0</v>
      </c>
      <c r="Z25" s="18">
        <f t="shared" si="4"/>
        <v>0</v>
      </c>
      <c r="AA25" s="29"/>
      <c r="AB25" s="29"/>
      <c r="AC25" s="30"/>
      <c r="AD25" s="29"/>
      <c r="AE25" s="30"/>
      <c r="AF25" s="30"/>
      <c r="AG25" s="30"/>
      <c r="AH25" s="19">
        <f t="shared" si="12"/>
        <v>0</v>
      </c>
    </row>
    <row r="26" spans="1:34" ht="13">
      <c r="A26" s="46" t="s">
        <v>48</v>
      </c>
      <c r="B26" s="32">
        <v>37215</v>
      </c>
      <c r="C26" s="5" t="s">
        <v>88</v>
      </c>
      <c r="D26" s="6" t="s">
        <v>89</v>
      </c>
      <c r="E26" s="4" t="s">
        <v>90</v>
      </c>
      <c r="F26" s="5">
        <v>164</v>
      </c>
      <c r="G26" s="17">
        <f t="shared" si="8"/>
        <v>2921</v>
      </c>
      <c r="H26" s="11">
        <f>ROUND(PRODUCT(G26/23),0)</f>
        <v>127</v>
      </c>
      <c r="I26" s="11">
        <f>ROUND(PRODUCT(G26/COUNT(F4:F26)),0)</f>
        <v>146</v>
      </c>
      <c r="J26" s="41">
        <v>0.375</v>
      </c>
      <c r="K26" s="21">
        <f t="shared" si="5"/>
        <v>5.770833333333333</v>
      </c>
      <c r="L26" s="45">
        <f t="shared" si="0"/>
        <v>18.2</v>
      </c>
      <c r="M26" s="37"/>
      <c r="N26" s="41">
        <v>0.41666666666666669</v>
      </c>
      <c r="O26" s="21">
        <f t="shared" si="6"/>
        <v>7.1041666666666687</v>
      </c>
      <c r="P26" s="45">
        <f t="shared" si="1"/>
        <v>16.399999999999999</v>
      </c>
      <c r="Q26" s="21">
        <f t="shared" si="2"/>
        <v>4.1666666666666685E-2</v>
      </c>
      <c r="R26" s="21">
        <f t="shared" si="9"/>
        <v>1.3333333333333333</v>
      </c>
      <c r="S26" s="29"/>
      <c r="T26" s="29"/>
      <c r="U26" s="18">
        <f t="shared" si="10"/>
        <v>0</v>
      </c>
      <c r="V26" s="29"/>
      <c r="W26" s="18">
        <f t="shared" si="7"/>
        <v>0</v>
      </c>
      <c r="X26" s="11">
        <f t="shared" si="3"/>
        <v>0</v>
      </c>
      <c r="Y26" s="18">
        <f t="shared" si="11"/>
        <v>0</v>
      </c>
      <c r="Z26" s="18">
        <f t="shared" si="4"/>
        <v>0</v>
      </c>
      <c r="AA26" s="29"/>
      <c r="AB26" s="29"/>
      <c r="AC26" s="30"/>
      <c r="AD26" s="29"/>
      <c r="AE26" s="30"/>
      <c r="AF26" s="30"/>
      <c r="AG26" s="30"/>
      <c r="AH26" s="19">
        <f t="shared" si="12"/>
        <v>0</v>
      </c>
    </row>
    <row r="27" spans="1:34" ht="13">
      <c r="A27" s="46" t="s">
        <v>49</v>
      </c>
      <c r="B27" s="32">
        <v>37216</v>
      </c>
      <c r="C27" s="5" t="s">
        <v>90</v>
      </c>
      <c r="D27" s="6"/>
      <c r="E27" s="4" t="s">
        <v>91</v>
      </c>
      <c r="F27" s="5">
        <v>160</v>
      </c>
      <c r="G27" s="17">
        <f t="shared" si="8"/>
        <v>3081</v>
      </c>
      <c r="H27" s="11">
        <f>ROUND(PRODUCT(G27/24),0)</f>
        <v>128</v>
      </c>
      <c r="I27" s="11">
        <f>ROUND(PRODUCT(G27/COUNT(F4:F27)),0)</f>
        <v>147</v>
      </c>
      <c r="J27" s="41">
        <v>0.27083333333333331</v>
      </c>
      <c r="K27" s="21">
        <f t="shared" si="5"/>
        <v>6.0416666666666661</v>
      </c>
      <c r="L27" s="45">
        <f t="shared" si="0"/>
        <v>24.6</v>
      </c>
      <c r="M27" s="37"/>
      <c r="N27" s="41">
        <v>0.3125</v>
      </c>
      <c r="O27" s="21">
        <f t="shared" si="6"/>
        <v>7.4166666666666687</v>
      </c>
      <c r="P27" s="45">
        <f t="shared" si="1"/>
        <v>21.3</v>
      </c>
      <c r="Q27" s="21">
        <f t="shared" si="2"/>
        <v>4.1666666666666685E-2</v>
      </c>
      <c r="R27" s="21">
        <f t="shared" si="9"/>
        <v>1.375</v>
      </c>
      <c r="S27" s="29"/>
      <c r="T27" s="29"/>
      <c r="U27" s="18">
        <f t="shared" si="10"/>
        <v>0</v>
      </c>
      <c r="V27" s="29"/>
      <c r="W27" s="18">
        <f t="shared" si="7"/>
        <v>0</v>
      </c>
      <c r="X27" s="11">
        <f t="shared" si="3"/>
        <v>0</v>
      </c>
      <c r="Y27" s="18">
        <f t="shared" si="11"/>
        <v>0</v>
      </c>
      <c r="Z27" s="18">
        <f t="shared" si="4"/>
        <v>0</v>
      </c>
      <c r="AA27" s="29"/>
      <c r="AB27" s="29"/>
      <c r="AC27" s="30"/>
      <c r="AD27" s="29"/>
      <c r="AE27" s="30"/>
      <c r="AF27" s="30"/>
      <c r="AG27" s="30"/>
      <c r="AH27" s="19">
        <f t="shared" si="12"/>
        <v>0</v>
      </c>
    </row>
    <row r="28" spans="1:34" ht="13">
      <c r="A28" s="46" t="s">
        <v>50</v>
      </c>
      <c r="B28" s="32">
        <v>37217</v>
      </c>
      <c r="C28" s="5" t="s">
        <v>91</v>
      </c>
      <c r="D28" s="6" t="s">
        <v>92</v>
      </c>
      <c r="E28" s="4" t="s">
        <v>93</v>
      </c>
      <c r="F28" s="5">
        <v>134</v>
      </c>
      <c r="G28" s="17">
        <f t="shared" si="8"/>
        <v>3215</v>
      </c>
      <c r="H28" s="11">
        <f>ROUND(PRODUCT(G28/25),0)</f>
        <v>129</v>
      </c>
      <c r="I28" s="11">
        <f>ROUND(PRODUCT(G28/COUNT(F4:F28)),0)</f>
        <v>146</v>
      </c>
      <c r="J28" s="41">
        <v>0.22916666666666666</v>
      </c>
      <c r="K28" s="21">
        <f t="shared" si="5"/>
        <v>6.270833333333333</v>
      </c>
      <c r="L28" s="45">
        <f t="shared" si="0"/>
        <v>24.4</v>
      </c>
      <c r="M28" s="37"/>
      <c r="N28" s="41">
        <v>0.375</v>
      </c>
      <c r="O28" s="21">
        <f t="shared" si="6"/>
        <v>7.7916666666666687</v>
      </c>
      <c r="P28" s="45">
        <f t="shared" si="1"/>
        <v>14.9</v>
      </c>
      <c r="Q28" s="21">
        <f t="shared" si="2"/>
        <v>0.14583333333333334</v>
      </c>
      <c r="R28" s="21">
        <f t="shared" si="9"/>
        <v>1.5208333333333333</v>
      </c>
      <c r="S28" s="29"/>
      <c r="T28" s="29"/>
      <c r="U28" s="18">
        <f t="shared" si="10"/>
        <v>0</v>
      </c>
      <c r="V28" s="29"/>
      <c r="W28" s="18">
        <f t="shared" si="7"/>
        <v>0</v>
      </c>
      <c r="X28" s="11">
        <f t="shared" si="3"/>
        <v>0</v>
      </c>
      <c r="Y28" s="18">
        <f t="shared" si="11"/>
        <v>0</v>
      </c>
      <c r="Z28" s="18">
        <f t="shared" si="4"/>
        <v>0</v>
      </c>
      <c r="AA28" s="29"/>
      <c r="AB28" s="29"/>
      <c r="AC28" s="30"/>
      <c r="AD28" s="29"/>
      <c r="AE28" s="30"/>
      <c r="AF28" s="30"/>
      <c r="AG28" s="30"/>
      <c r="AH28" s="19">
        <f t="shared" si="12"/>
        <v>0</v>
      </c>
    </row>
    <row r="29" spans="1:34" ht="13">
      <c r="A29" s="46" t="s">
        <v>51</v>
      </c>
      <c r="B29" s="32">
        <v>37218</v>
      </c>
      <c r="C29" s="5" t="s">
        <v>93</v>
      </c>
      <c r="D29" s="6"/>
      <c r="E29" s="4" t="s">
        <v>94</v>
      </c>
      <c r="F29" s="5">
        <v>85</v>
      </c>
      <c r="G29" s="17">
        <f t="shared" si="8"/>
        <v>3300</v>
      </c>
      <c r="H29" s="11">
        <f>ROUND(PRODUCT(G29/26),0)</f>
        <v>127</v>
      </c>
      <c r="I29" s="11">
        <f>ROUND(PRODUCT(G29/COUNT(F4:F29)),0)</f>
        <v>143</v>
      </c>
      <c r="J29" s="41">
        <v>0.22916666666666666</v>
      </c>
      <c r="K29" s="21">
        <f t="shared" si="5"/>
        <v>6.5</v>
      </c>
      <c r="L29" s="45">
        <f t="shared" si="0"/>
        <v>15.5</v>
      </c>
      <c r="M29" s="37"/>
      <c r="N29" s="41">
        <v>0.29166666666666669</v>
      </c>
      <c r="O29" s="21">
        <f t="shared" si="6"/>
        <v>8.0833333333333357</v>
      </c>
      <c r="P29" s="45">
        <f t="shared" si="1"/>
        <v>12.1</v>
      </c>
      <c r="Q29" s="21">
        <f t="shared" si="2"/>
        <v>6.2500000000000028E-2</v>
      </c>
      <c r="R29" s="21">
        <f t="shared" si="9"/>
        <v>1.5833333333333333</v>
      </c>
      <c r="S29" s="29"/>
      <c r="T29" s="29"/>
      <c r="U29" s="18">
        <f t="shared" si="10"/>
        <v>0</v>
      </c>
      <c r="V29" s="29"/>
      <c r="W29" s="18">
        <f t="shared" si="7"/>
        <v>0</v>
      </c>
      <c r="X29" s="11">
        <f t="shared" si="3"/>
        <v>0</v>
      </c>
      <c r="Y29" s="18">
        <f t="shared" si="11"/>
        <v>0</v>
      </c>
      <c r="Z29" s="18">
        <f t="shared" si="4"/>
        <v>0</v>
      </c>
      <c r="AA29" s="29"/>
      <c r="AB29" s="29"/>
      <c r="AC29" s="30"/>
      <c r="AD29" s="29"/>
      <c r="AE29" s="30"/>
      <c r="AF29" s="30"/>
      <c r="AG29" s="30"/>
      <c r="AH29" s="19">
        <f t="shared" si="12"/>
        <v>0</v>
      </c>
    </row>
    <row r="30" spans="1:34" ht="13">
      <c r="A30" s="31" t="s">
        <v>6</v>
      </c>
      <c r="B30" s="56"/>
      <c r="C30" s="57"/>
      <c r="D30" s="57"/>
      <c r="E30" s="58"/>
      <c r="F30" s="33">
        <f>SUM(F4:F29)</f>
        <v>3300</v>
      </c>
      <c r="G30" s="22">
        <f>SUM(G29)</f>
        <v>3300</v>
      </c>
      <c r="H30" s="22">
        <f>SUM(H29)</f>
        <v>127</v>
      </c>
      <c r="I30" s="22">
        <f>SUM(I29)</f>
        <v>143</v>
      </c>
      <c r="J30" s="23">
        <f>SUM(J4:J29)</f>
        <v>6.5</v>
      </c>
      <c r="K30" s="39">
        <f>F30/SUM(HOUR(J30)+(ROUNDDOWN(J30,0)*24),PRODUCT(MINUTE(J30)/60))</f>
        <v>21.153846153846153</v>
      </c>
      <c r="L30" s="44">
        <f>SUM(L4:L29)/COUNT(F4:F29)</f>
        <v>21.113043478260867</v>
      </c>
      <c r="M30" s="48" t="e">
        <f>PRODUCT(SUM(M4:M29),1/COUNT(M4:M29))</f>
        <v>#DIV/0!</v>
      </c>
      <c r="N30" s="23">
        <f>SUM(N4:N29)</f>
        <v>8.0833333333333357</v>
      </c>
      <c r="O30" s="39">
        <f>F30/SUM(HOUR(N30)+(ROUNDDOWN(N30,0)*24),PRODUCT(MINUTE(N30)/60))</f>
        <v>17.010309278350515</v>
      </c>
      <c r="P30" s="44">
        <f>SUM(P4:P29)/COUNT(F4:F29)</f>
        <v>17.152173913043477</v>
      </c>
      <c r="Q30" s="23">
        <f>SUM(Q4:Q29)</f>
        <v>1.5833333333333333</v>
      </c>
      <c r="R30" s="22"/>
      <c r="S30" s="22" t="e">
        <f>ROUND(SUM(S4:S29)/COUNT(S4:S29),0)</f>
        <v>#DIV/0!</v>
      </c>
      <c r="T30" s="22" t="e">
        <f>ROUND(SUM(T4:T29)/COUNT(T4:T29),0)</f>
        <v>#DIV/0!</v>
      </c>
      <c r="U30" s="24">
        <f>SUM(U4:U29)</f>
        <v>0</v>
      </c>
      <c r="V30" s="22" t="e">
        <f>ROUND(SUM(V4:V29)/COUNT(V4:V29),0)</f>
        <v>#DIV/0!</v>
      </c>
      <c r="W30" s="22">
        <f>SUM(W29)</f>
        <v>0</v>
      </c>
      <c r="X30" s="22" t="e">
        <f>ROUND(SUM(X4:X29)/COUNT(V4:V29),0)</f>
        <v>#DIV/0!</v>
      </c>
      <c r="Y30" s="22">
        <f>SUM(Y29)</f>
        <v>0</v>
      </c>
      <c r="Z30" s="24">
        <f>SUM(Z4:Z29)</f>
        <v>0</v>
      </c>
      <c r="AA30" s="22" t="e">
        <f>ROUND(SUM(AA4:AA29)/COUNT(AA4:AA29),0)</f>
        <v>#DIV/0!</v>
      </c>
      <c r="AB30" s="38" t="e">
        <f t="shared" ref="AB30:AG30" si="13">SUM(AB4:AB29)/COUNT(AB4:AB29)</f>
        <v>#DIV/0!</v>
      </c>
      <c r="AC30" s="38" t="e">
        <f t="shared" si="13"/>
        <v>#DIV/0!</v>
      </c>
      <c r="AD30" s="38" t="e">
        <f t="shared" si="13"/>
        <v>#DIV/0!</v>
      </c>
      <c r="AE30" s="38" t="e">
        <f t="shared" si="13"/>
        <v>#DIV/0!</v>
      </c>
      <c r="AF30" s="38" t="e">
        <f t="shared" si="13"/>
        <v>#DIV/0!</v>
      </c>
      <c r="AG30" s="38" t="e">
        <f t="shared" si="13"/>
        <v>#DIV/0!</v>
      </c>
      <c r="AH30" s="38" t="e">
        <f>SUM(AH4:AH29)/COUNT(AG4:AG29)</f>
        <v>#DIV/0!</v>
      </c>
    </row>
    <row r="31" spans="1:34" ht="13">
      <c r="Q31" s="11"/>
      <c r="R31" s="11"/>
      <c r="S31" s="11"/>
      <c r="W31" s="18"/>
      <c r="Y31" s="18"/>
    </row>
    <row r="32" spans="1:34" ht="13">
      <c r="O32" s="11"/>
      <c r="P32" s="11"/>
      <c r="Q32" s="11"/>
      <c r="R32" s="34"/>
      <c r="S32" s="11"/>
      <c r="T32" s="11"/>
      <c r="U32" s="11"/>
      <c r="V32" s="11"/>
      <c r="W32" s="18"/>
      <c r="X32" s="11"/>
      <c r="Y32" s="18"/>
      <c r="Z32" s="11"/>
      <c r="AA32" s="11"/>
    </row>
    <row r="33" spans="14:27" ht="13">
      <c r="N33" s="43"/>
      <c r="O33" s="11"/>
      <c r="P33" s="11"/>
      <c r="Q33" s="42"/>
      <c r="R33" s="42"/>
      <c r="S33" s="11"/>
      <c r="T33" s="11"/>
      <c r="U33" s="11"/>
      <c r="V33" s="11"/>
      <c r="W33" s="11"/>
      <c r="X33" s="11"/>
      <c r="Y33" s="11"/>
      <c r="Z33" s="11"/>
      <c r="AA33" s="11"/>
    </row>
    <row r="34" spans="14:27" ht="13">
      <c r="O34" s="11"/>
      <c r="P34" s="11"/>
      <c r="Q34" s="42"/>
      <c r="R34" s="42"/>
      <c r="S34" s="11"/>
      <c r="T34" s="11"/>
      <c r="U34" s="11"/>
      <c r="V34" s="11"/>
      <c r="W34" s="11"/>
      <c r="X34" s="11"/>
      <c r="Y34" s="11"/>
      <c r="Z34" s="11"/>
      <c r="AA34" s="11"/>
    </row>
    <row r="35" spans="14:27" ht="13">
      <c r="O35" s="11"/>
      <c r="P35" s="11"/>
      <c r="Q35" s="11"/>
      <c r="R35" s="42"/>
      <c r="S35" s="11"/>
      <c r="T35" s="11"/>
      <c r="U35" s="11"/>
      <c r="V35" s="11"/>
      <c r="W35" s="11"/>
      <c r="X35" s="11"/>
      <c r="Y35" s="11"/>
      <c r="Z35" s="11"/>
      <c r="AA35" s="11"/>
    </row>
    <row r="36" spans="14:27"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</sheetData>
  <mergeCells count="4">
    <mergeCell ref="A1:F1"/>
    <mergeCell ref="A2:F2"/>
    <mergeCell ref="G1:AH1"/>
    <mergeCell ref="B30:E3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D2BC-E2CF-44B1-98A6-888EEA581E1D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9CD7A-BF78-4DE2-9A5D-5EB456E1E09B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2025-11-12T20:01:04Z</dcterms:modified>
</cp:coreProperties>
</file>