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E85C4A2B-66A5-4763-9F68-3F13F1E81CA9}" xr6:coauthVersionLast="47" xr6:coauthVersionMax="47" xr10:uidLastSave="{00000000-0000-0000-0000-000000000000}"/>
  <bookViews>
    <workbookView xWindow="-110" yWindow="-110" windowWidth="19420" windowHeight="10420" xr2:uid="{D08785A4-F741-4E0E-9498-CE8C87B26402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P4" i="1"/>
  <c r="P28" i="1" s="1"/>
  <c r="Q4" i="1"/>
  <c r="R4" i="1" s="1"/>
  <c r="R5" i="1" s="1"/>
  <c r="R6" i="1" s="1"/>
  <c r="R7" i="1" s="1"/>
  <c r="R8" i="1" s="1"/>
  <c r="R9" i="1" s="1"/>
  <c r="R10" i="1" s="1"/>
  <c r="U4" i="1"/>
  <c r="W4" i="1"/>
  <c r="X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Z4" i="1"/>
  <c r="AH4" i="1"/>
  <c r="AH28" i="1" s="1"/>
  <c r="G5" i="1"/>
  <c r="H5" i="1" s="1"/>
  <c r="K5" i="1"/>
  <c r="L5" i="1"/>
  <c r="P5" i="1"/>
  <c r="Q5" i="1"/>
  <c r="U5" i="1"/>
  <c r="W5" i="1"/>
  <c r="X5" i="1"/>
  <c r="Z5" i="1"/>
  <c r="AH5" i="1"/>
  <c r="K6" i="1"/>
  <c r="L6" i="1"/>
  <c r="P6" i="1"/>
  <c r="Q6" i="1"/>
  <c r="U6" i="1"/>
  <c r="U28" i="1" s="1"/>
  <c r="W6" i="1"/>
  <c r="X6" i="1"/>
  <c r="Z6" i="1"/>
  <c r="AH6" i="1"/>
  <c r="K7" i="1"/>
  <c r="L7" i="1"/>
  <c r="P7" i="1"/>
  <c r="Q7" i="1"/>
  <c r="U7" i="1"/>
  <c r="W7" i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X7" i="1"/>
  <c r="Z7" i="1"/>
  <c r="AH7" i="1"/>
  <c r="K8" i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L8" i="1"/>
  <c r="P8" i="1"/>
  <c r="Q8" i="1"/>
  <c r="U8" i="1"/>
  <c r="X8" i="1"/>
  <c r="Z8" i="1" s="1"/>
  <c r="AH8" i="1"/>
  <c r="L9" i="1"/>
  <c r="L28" i="1" s="1"/>
  <c r="P9" i="1"/>
  <c r="Q9" i="1"/>
  <c r="U9" i="1"/>
  <c r="X9" i="1"/>
  <c r="Z9" i="1" s="1"/>
  <c r="AH9" i="1"/>
  <c r="L10" i="1"/>
  <c r="P10" i="1"/>
  <c r="Q10" i="1"/>
  <c r="U10" i="1"/>
  <c r="X10" i="1"/>
  <c r="Z10" i="1"/>
  <c r="AH10" i="1"/>
  <c r="L11" i="1"/>
  <c r="P11" i="1"/>
  <c r="Q11" i="1"/>
  <c r="R11" i="1" s="1"/>
  <c r="U11" i="1"/>
  <c r="X11" i="1"/>
  <c r="Z11" i="1"/>
  <c r="AH11" i="1"/>
  <c r="L12" i="1"/>
  <c r="P12" i="1"/>
  <c r="Q12" i="1"/>
  <c r="U12" i="1"/>
  <c r="X12" i="1"/>
  <c r="Z12" i="1"/>
  <c r="AH12" i="1"/>
  <c r="L13" i="1"/>
  <c r="P13" i="1"/>
  <c r="Q13" i="1"/>
  <c r="U13" i="1"/>
  <c r="X13" i="1"/>
  <c r="Z13" i="1"/>
  <c r="AH13" i="1"/>
  <c r="L14" i="1"/>
  <c r="P14" i="1"/>
  <c r="Q14" i="1"/>
  <c r="U14" i="1"/>
  <c r="X14" i="1"/>
  <c r="Z14" i="1"/>
  <c r="AH14" i="1"/>
  <c r="L15" i="1"/>
  <c r="P15" i="1"/>
  <c r="Q15" i="1"/>
  <c r="U15" i="1"/>
  <c r="X15" i="1"/>
  <c r="Z15" i="1" s="1"/>
  <c r="AH15" i="1"/>
  <c r="L16" i="1"/>
  <c r="P16" i="1"/>
  <c r="Q16" i="1"/>
  <c r="U16" i="1"/>
  <c r="X16" i="1"/>
  <c r="Z16" i="1" s="1"/>
  <c r="AH16" i="1"/>
  <c r="L17" i="1"/>
  <c r="P17" i="1"/>
  <c r="Q17" i="1"/>
  <c r="U17" i="1"/>
  <c r="X17" i="1"/>
  <c r="Z17" i="1" s="1"/>
  <c r="AH17" i="1"/>
  <c r="L18" i="1"/>
  <c r="P18" i="1"/>
  <c r="Q18" i="1"/>
  <c r="U18" i="1"/>
  <c r="X18" i="1"/>
  <c r="Z18" i="1"/>
  <c r="AH18" i="1"/>
  <c r="L19" i="1"/>
  <c r="P19" i="1"/>
  <c r="Q19" i="1"/>
  <c r="U19" i="1"/>
  <c r="X19" i="1"/>
  <c r="Z19" i="1"/>
  <c r="AH19" i="1"/>
  <c r="L20" i="1"/>
  <c r="P20" i="1"/>
  <c r="Q20" i="1"/>
  <c r="U20" i="1"/>
  <c r="X20" i="1"/>
  <c r="Z20" i="1"/>
  <c r="AH20" i="1"/>
  <c r="L21" i="1"/>
  <c r="P21" i="1"/>
  <c r="Q21" i="1"/>
  <c r="U21" i="1"/>
  <c r="X21" i="1"/>
  <c r="Z21" i="1"/>
  <c r="AH21" i="1"/>
  <c r="L22" i="1"/>
  <c r="P22" i="1"/>
  <c r="Q22" i="1"/>
  <c r="U22" i="1"/>
  <c r="X22" i="1"/>
  <c r="Z22" i="1"/>
  <c r="AH22" i="1"/>
  <c r="L23" i="1"/>
  <c r="P23" i="1"/>
  <c r="Q23" i="1"/>
  <c r="U23" i="1"/>
  <c r="X23" i="1"/>
  <c r="Z23" i="1" s="1"/>
  <c r="AH23" i="1"/>
  <c r="L24" i="1"/>
  <c r="P24" i="1"/>
  <c r="Q24" i="1"/>
  <c r="U24" i="1"/>
  <c r="X24" i="1"/>
  <c r="Z24" i="1" s="1"/>
  <c r="AH24" i="1"/>
  <c r="L25" i="1"/>
  <c r="P25" i="1"/>
  <c r="Q25" i="1"/>
  <c r="U25" i="1"/>
  <c r="X25" i="1"/>
  <c r="Z25" i="1" s="1"/>
  <c r="AH25" i="1"/>
  <c r="L26" i="1"/>
  <c r="P26" i="1"/>
  <c r="Q26" i="1"/>
  <c r="U26" i="1"/>
  <c r="X26" i="1"/>
  <c r="Z26" i="1"/>
  <c r="AH26" i="1"/>
  <c r="L27" i="1"/>
  <c r="P27" i="1"/>
  <c r="Q27" i="1"/>
  <c r="U27" i="1"/>
  <c r="X27" i="1"/>
  <c r="Z27" i="1"/>
  <c r="AH27" i="1"/>
  <c r="F28" i="1"/>
  <c r="O28" i="1" s="1"/>
  <c r="J28" i="1"/>
  <c r="K28" i="1"/>
  <c r="M28" i="1"/>
  <c r="N28" i="1"/>
  <c r="S28" i="1"/>
  <c r="T28" i="1"/>
  <c r="V28" i="1"/>
  <c r="AA28" i="1"/>
  <c r="AB28" i="1"/>
  <c r="AC28" i="1"/>
  <c r="AD28" i="1"/>
  <c r="AE28" i="1"/>
  <c r="AF28" i="1"/>
  <c r="AG28" i="1"/>
  <c r="Z28" i="1" l="1"/>
  <c r="R12" i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Q28" i="1"/>
  <c r="I4" i="1"/>
  <c r="G6" i="1"/>
  <c r="X28" i="1"/>
  <c r="I5" i="1"/>
  <c r="I6" i="1" l="1"/>
  <c r="G7" i="1"/>
  <c r="H6" i="1"/>
  <c r="G8" i="1" l="1"/>
  <c r="H7" i="1"/>
  <c r="I7" i="1"/>
  <c r="I8" i="1" l="1"/>
  <c r="G9" i="1"/>
  <c r="H8" i="1"/>
  <c r="I9" i="1" l="1"/>
  <c r="G10" i="1"/>
  <c r="H9" i="1"/>
  <c r="G11" i="1" l="1"/>
  <c r="H10" i="1"/>
  <c r="I10" i="1"/>
  <c r="G12" i="1" l="1"/>
  <c r="H11" i="1"/>
  <c r="I11" i="1"/>
  <c r="H12" i="1" l="1"/>
  <c r="G13" i="1"/>
  <c r="I12" i="1"/>
  <c r="H13" i="1" l="1"/>
  <c r="I13" i="1"/>
  <c r="G14" i="1"/>
  <c r="I14" i="1" l="1"/>
  <c r="H14" i="1"/>
  <c r="G15" i="1"/>
  <c r="G16" i="1" l="1"/>
  <c r="H15" i="1"/>
  <c r="I15" i="1"/>
  <c r="I16" i="1" l="1"/>
  <c r="G17" i="1"/>
  <c r="H16" i="1"/>
  <c r="H17" i="1" l="1"/>
  <c r="G18" i="1"/>
  <c r="I17" i="1"/>
  <c r="G19" i="1" l="1"/>
  <c r="H18" i="1"/>
  <c r="I18" i="1"/>
  <c r="G20" i="1" l="1"/>
  <c r="H19" i="1"/>
  <c r="I19" i="1"/>
  <c r="H20" i="1" l="1"/>
  <c r="G21" i="1"/>
  <c r="I20" i="1"/>
  <c r="H21" i="1" l="1"/>
  <c r="I21" i="1"/>
  <c r="G22" i="1"/>
  <c r="I22" i="1" l="1"/>
  <c r="H22" i="1"/>
  <c r="G23" i="1"/>
  <c r="G24" i="1" l="1"/>
  <c r="H23" i="1"/>
  <c r="I23" i="1"/>
  <c r="H24" i="1" l="1"/>
  <c r="G25" i="1"/>
  <c r="I24" i="1"/>
  <c r="H25" i="1" l="1"/>
  <c r="G26" i="1"/>
  <c r="I25" i="1"/>
  <c r="G27" i="1" l="1"/>
  <c r="I26" i="1"/>
  <c r="H26" i="1"/>
  <c r="G28" i="1" l="1"/>
  <c r="H27" i="1"/>
  <c r="H28" i="1" s="1"/>
  <c r="I27" i="1"/>
  <c r="I28" i="1" s="1"/>
</calcChain>
</file>

<file path=xl/sharedStrings.xml><?xml version="1.0" encoding="utf-8"?>
<sst xmlns="http://schemas.openxmlformats.org/spreadsheetml/2006/main" count="122" uniqueCount="98">
  <si>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</si>
  <si>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</si>
  <si>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</si>
  <si>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</si>
  <si>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</si>
  <si>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</si>
  <si>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</si>
  <si>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</si>
  <si>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</si>
  <si>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</si>
  <si>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</si>
  <si>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</si>
  <si>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</si>
  <si>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</si>
  <si>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</si>
  <si>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</si>
  <si>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</si>
  <si>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</si>
  <si>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</si>
  <si>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</si>
  <si>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</si>
  <si>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</si>
  <si>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</si>
  <si>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</si>
  <si>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</si>
  <si>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</si>
  <si>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</si>
  <si>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</si>
  <si>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</si>
  <si>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</si>
  <si>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</si>
  <si>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</si>
  <si>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</si>
  <si>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</si>
  <si>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</si>
  <si>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</si>
  <si>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</si>
  <si>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</si>
  <si>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15.</t>
  </si>
  <si>
    <t>16.</t>
  </si>
  <si>
    <t>17.</t>
  </si>
  <si>
    <t>18.</t>
  </si>
  <si>
    <t>19.</t>
  </si>
  <si>
    <t>km/h brutto</t>
  </si>
  <si>
    <t>km/h netto</t>
  </si>
  <si>
    <t>20.</t>
  </si>
  <si>
    <t>21.</t>
  </si>
  <si>
    <t>22.</t>
  </si>
  <si>
    <t>23.</t>
  </si>
  <si>
    <t>24.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</si>
  <si>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</si>
  <si>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</si>
  <si>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</si>
  <si>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</si>
  <si>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</si>
  <si>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</si>
  <si>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</si>
  <si>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</si>
  <si>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</si>
  <si>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Budapest - Kaukasus (10.9.-3.10.2003)</t>
  </si>
  <si>
    <r>
      <t>Statistik</t>
    </r>
    <r>
      <rPr>
        <b/>
        <sz val="20"/>
        <rFont val="Arial"/>
        <family val="2"/>
      </rPr>
      <t xml:space="preserve"> Budapest - Kaukasus (10.9.-3.10.2003)</t>
    </r>
  </si>
  <si>
    <t>Budapest</t>
  </si>
  <si>
    <t>Cegled</t>
  </si>
  <si>
    <t>Szolnok</t>
  </si>
  <si>
    <t>Püspökladany</t>
  </si>
  <si>
    <t>Oradea (Großwardein)</t>
  </si>
  <si>
    <t>Cluj Napoca (Klausenburg)</t>
  </si>
  <si>
    <t>Reghin (Sächsisch-Regen)</t>
  </si>
  <si>
    <t>Toplita</t>
  </si>
  <si>
    <t>Passul Borsec (1105 m) - Manastirea Neamt - Manastirea Agapia</t>
  </si>
  <si>
    <t>Tirgu Neamt</t>
  </si>
  <si>
    <t>Iasi</t>
  </si>
  <si>
    <t>Sculeni - Ungheni</t>
  </si>
  <si>
    <t>Chisinau</t>
  </si>
  <si>
    <t>Tiraspol</t>
  </si>
  <si>
    <t>Odessa</t>
  </si>
  <si>
    <t>Mikolaiv</t>
  </si>
  <si>
    <t>Mirne - Cherson</t>
  </si>
  <si>
    <t>Kalancak</t>
  </si>
  <si>
    <t>Rosdolne</t>
  </si>
  <si>
    <t>Jewpatorija</t>
  </si>
  <si>
    <t>Novofedorivka - Sewastopol</t>
  </si>
  <si>
    <t>Jalta</t>
  </si>
  <si>
    <t>Sudak</t>
  </si>
  <si>
    <t>Feodosia</t>
  </si>
  <si>
    <t>Kertsch</t>
  </si>
  <si>
    <t>Port Krim - Fähre - Port Kawkas</t>
  </si>
  <si>
    <t>Anapa</t>
  </si>
  <si>
    <t>Krasnodar</t>
  </si>
  <si>
    <t>Ust-Labinsk - Kurganinsk</t>
  </si>
  <si>
    <t>Armawir</t>
  </si>
  <si>
    <t>Konokovo</t>
  </si>
  <si>
    <t>Nevinnomyssk</t>
  </si>
  <si>
    <t>Mineralnye Wody</t>
  </si>
  <si>
    <t>Pjatigorsk</t>
  </si>
  <si>
    <t>Naltschik</t>
  </si>
  <si>
    <t>Wladikawkas</t>
  </si>
  <si>
    <t>Verchnii Lars (Grenzstation Russland - Georgien)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</si>
</sst>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0" fontId="4" fillId="0" borderId="1" xfId="0" applyFont="1" applyBorder="1" applyAlignment="1">
      <alignment wrapText="1"/>
    </xf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180" fontId="1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E7250-BB98-4E92-9DE3-14C46D1AE79A}">
  <sheetPr codeName="Tabelle1"/>
  <dimension ref="A1:AH34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51" t="s">
        <v>59</v>
      </c>
      <c r="B1" s="52"/>
      <c r="C1" s="52"/>
      <c r="D1" s="52"/>
      <c r="E1" s="52"/>
      <c r="F1" s="53"/>
      <c r="G1" s="55" t="s">
        <v>60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7"/>
    </row>
    <row r="2" spans="1:34">
      <c r="A2" s="54"/>
      <c r="B2" s="54"/>
      <c r="C2" s="54"/>
      <c r="D2" s="54"/>
      <c r="E2" s="54"/>
      <c r="F2" s="54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5" t="s">
        <v>26</v>
      </c>
      <c r="H3" s="25" t="s">
        <v>23</v>
      </c>
      <c r="I3" s="25" t="s">
        <v>24</v>
      </c>
      <c r="J3" s="25" t="s">
        <v>8</v>
      </c>
      <c r="K3" s="26" t="s">
        <v>32</v>
      </c>
      <c r="L3" s="25" t="s">
        <v>44</v>
      </c>
      <c r="M3" s="25" t="s">
        <v>25</v>
      </c>
      <c r="N3" s="25" t="s">
        <v>14</v>
      </c>
      <c r="O3" s="26" t="s">
        <v>33</v>
      </c>
      <c r="P3" s="25" t="s">
        <v>43</v>
      </c>
      <c r="Q3" s="25" t="s">
        <v>15</v>
      </c>
      <c r="R3" s="26" t="s">
        <v>34</v>
      </c>
      <c r="S3" s="25" t="s">
        <v>9</v>
      </c>
      <c r="T3" s="25" t="s">
        <v>10</v>
      </c>
      <c r="U3" s="25" t="s">
        <v>31</v>
      </c>
      <c r="V3" s="25" t="s">
        <v>12</v>
      </c>
      <c r="W3" s="26" t="s">
        <v>27</v>
      </c>
      <c r="X3" s="25" t="s">
        <v>13</v>
      </c>
      <c r="Y3" s="26" t="s">
        <v>29</v>
      </c>
      <c r="Z3" s="26" t="s">
        <v>30</v>
      </c>
      <c r="AA3" s="25" t="s">
        <v>11</v>
      </c>
      <c r="AB3" s="27" t="s">
        <v>18</v>
      </c>
      <c r="AC3" s="27" t="s">
        <v>19</v>
      </c>
      <c r="AD3" s="27" t="s">
        <v>20</v>
      </c>
      <c r="AE3" s="27" t="s">
        <v>21</v>
      </c>
      <c r="AF3" s="28" t="s">
        <v>17</v>
      </c>
      <c r="AG3" s="28" t="s">
        <v>16</v>
      </c>
      <c r="AH3" s="28" t="s">
        <v>28</v>
      </c>
    </row>
    <row r="4" spans="1:34" ht="13">
      <c r="A4" s="48" t="s">
        <v>50</v>
      </c>
      <c r="B4" s="32">
        <v>37874</v>
      </c>
      <c r="C4" s="5" t="s">
        <v>61</v>
      </c>
      <c r="D4" s="6" t="s">
        <v>62</v>
      </c>
      <c r="E4" s="49" t="s">
        <v>63</v>
      </c>
      <c r="F4" s="35">
        <v>104</v>
      </c>
      <c r="G4" s="13">
        <f>SUM(F4)</f>
        <v>104</v>
      </c>
      <c r="H4" s="14">
        <f>ROUND(PRODUCT(G4/1),0)</f>
        <v>104</v>
      </c>
      <c r="I4" s="14">
        <f>ROUND(PRODUCT(G4/COUNT(F4:F4)),0)</f>
        <v>104</v>
      </c>
      <c r="J4" s="41">
        <v>0.1875</v>
      </c>
      <c r="K4" s="20">
        <f>SUM(J4)</f>
        <v>0.1875</v>
      </c>
      <c r="L4" s="46">
        <f t="shared" ref="L4:L27" si="0">IF(F4=0,0,ROUND(PRODUCT(F4/SUM(HOUR(J4),PRODUCT(MINUTE(J4)/60))),1))</f>
        <v>23.1</v>
      </c>
      <c r="M4" s="36"/>
      <c r="N4" s="41">
        <v>0.1875</v>
      </c>
      <c r="O4" s="20">
        <f>SUM(N4)</f>
        <v>0.1875</v>
      </c>
      <c r="P4" s="46">
        <f t="shared" ref="P4:P27" si="1">IF(F4=0,0,ROUND(PRODUCT(F4/SUM(HOUR(N4),PRODUCT(MINUTE(N4)/60))),1))</f>
        <v>23.1</v>
      </c>
      <c r="Q4" s="20">
        <f t="shared" ref="Q4:Q27" si="2">SUM(N4,-J4)</f>
        <v>0</v>
      </c>
      <c r="R4" s="20">
        <f>SUM(Q4)</f>
        <v>0</v>
      </c>
      <c r="S4" s="14"/>
      <c r="T4" s="11"/>
      <c r="U4" s="15">
        <f>SUM(-S4,T4)</f>
        <v>0</v>
      </c>
      <c r="V4" s="14"/>
      <c r="W4" s="15">
        <f>SUM(V4)</f>
        <v>0</v>
      </c>
      <c r="X4" s="14">
        <f t="shared" ref="X4:X27" si="3">SUM(S4,-T4,V4)</f>
        <v>0</v>
      </c>
      <c r="Y4" s="15">
        <f>SUM(X4)</f>
        <v>0</v>
      </c>
      <c r="Z4" s="15">
        <f t="shared" ref="Z4:Z27" si="4">SUM(V4,-X4)</f>
        <v>0</v>
      </c>
      <c r="AA4" s="14"/>
      <c r="AB4" s="14"/>
      <c r="AC4" s="14"/>
      <c r="AD4" s="14"/>
      <c r="AE4" s="14"/>
      <c r="AF4" s="14"/>
      <c r="AG4" s="14"/>
      <c r="AH4" s="16">
        <f>SUM(AG4,-AF4)</f>
        <v>0</v>
      </c>
    </row>
    <row r="5" spans="1:34" ht="13">
      <c r="A5" s="48" t="s">
        <v>51</v>
      </c>
      <c r="B5" s="32">
        <v>37875</v>
      </c>
      <c r="C5" s="5" t="s">
        <v>63</v>
      </c>
      <c r="D5" s="6" t="s">
        <v>64</v>
      </c>
      <c r="E5" s="49" t="s">
        <v>65</v>
      </c>
      <c r="F5" s="35">
        <v>157</v>
      </c>
      <c r="G5" s="17">
        <f>SUM(G4,F5)</f>
        <v>261</v>
      </c>
      <c r="H5" s="11">
        <f>ROUND(PRODUCT(G5/2),0)</f>
        <v>131</v>
      </c>
      <c r="I5" s="11">
        <f>ROUND(PRODUCT(G5/COUNT(F4:F5)),0)</f>
        <v>131</v>
      </c>
      <c r="J5" s="42">
        <v>0.2673611111111111</v>
      </c>
      <c r="K5" s="21">
        <f t="shared" ref="K5:K27" si="5">SUM(J5,K4)</f>
        <v>0.4548611111111111</v>
      </c>
      <c r="L5" s="46">
        <f t="shared" si="0"/>
        <v>24.5</v>
      </c>
      <c r="M5" s="37"/>
      <c r="N5" s="42">
        <v>0.3125</v>
      </c>
      <c r="O5" s="21">
        <f t="shared" ref="O5:O27" si="6">SUM(N5,O4)</f>
        <v>0.5</v>
      </c>
      <c r="P5" s="46">
        <f t="shared" si="1"/>
        <v>20.9</v>
      </c>
      <c r="Q5" s="21">
        <f t="shared" si="2"/>
        <v>4.5138888888888895E-2</v>
      </c>
      <c r="R5" s="21">
        <f>SUM(Q5,R4)</f>
        <v>4.5138888888888895E-2</v>
      </c>
      <c r="S5" s="11"/>
      <c r="T5" s="11"/>
      <c r="U5" s="18">
        <f>SUM(-S5,T5)</f>
        <v>0</v>
      </c>
      <c r="V5" s="29"/>
      <c r="W5" s="18">
        <f t="shared" ref="W5:W27" si="7">SUM(W4,V5)</f>
        <v>0</v>
      </c>
      <c r="X5" s="11">
        <f t="shared" si="3"/>
        <v>0</v>
      </c>
      <c r="Y5" s="18">
        <f>SUM(Y4,X5)</f>
        <v>0</v>
      </c>
      <c r="Z5" s="18">
        <f t="shared" si="4"/>
        <v>0</v>
      </c>
      <c r="AA5" s="11"/>
      <c r="AB5" s="11"/>
      <c r="AC5" s="30"/>
      <c r="AD5" s="29"/>
      <c r="AE5" s="30"/>
      <c r="AF5" s="30"/>
      <c r="AG5" s="30"/>
      <c r="AH5" s="19">
        <f>SUM(AG5,-AF5)</f>
        <v>0</v>
      </c>
    </row>
    <row r="6" spans="1:34" ht="13">
      <c r="A6" s="48" t="s">
        <v>52</v>
      </c>
      <c r="B6" s="32">
        <v>37876</v>
      </c>
      <c r="C6" s="5" t="s">
        <v>65</v>
      </c>
      <c r="D6" s="6"/>
      <c r="E6" s="4" t="s">
        <v>66</v>
      </c>
      <c r="F6" s="35">
        <v>153</v>
      </c>
      <c r="G6" s="17">
        <f t="shared" ref="G6:G27" si="8">SUM(G5,F6)</f>
        <v>414</v>
      </c>
      <c r="H6" s="11">
        <f>ROUND(PRODUCT(G6/3),0)</f>
        <v>138</v>
      </c>
      <c r="I6" s="11">
        <f>ROUND(PRODUCT(G6/COUNT(F4:F6)),0)</f>
        <v>138</v>
      </c>
      <c r="J6" s="42">
        <v>0.3125</v>
      </c>
      <c r="K6" s="21">
        <f t="shared" si="5"/>
        <v>0.76736111111111116</v>
      </c>
      <c r="L6" s="46">
        <f t="shared" si="0"/>
        <v>20.399999999999999</v>
      </c>
      <c r="M6" s="37"/>
      <c r="N6" s="42">
        <v>0.38541666666666669</v>
      </c>
      <c r="O6" s="21">
        <f t="shared" si="6"/>
        <v>0.88541666666666674</v>
      </c>
      <c r="P6" s="46">
        <f t="shared" si="1"/>
        <v>16.5</v>
      </c>
      <c r="Q6" s="21">
        <f t="shared" si="2"/>
        <v>7.2916666666666685E-2</v>
      </c>
      <c r="R6" s="21">
        <f t="shared" ref="R6:R27" si="9">SUM(Q6,R5)</f>
        <v>0.11805555555555558</v>
      </c>
      <c r="S6" s="11"/>
      <c r="T6" s="29"/>
      <c r="U6" s="18">
        <f t="shared" ref="U6:U27" si="10">SUM(-S6,T6)</f>
        <v>0</v>
      </c>
      <c r="V6" s="29"/>
      <c r="W6" s="18">
        <f t="shared" si="7"/>
        <v>0</v>
      </c>
      <c r="X6" s="11">
        <f t="shared" si="3"/>
        <v>0</v>
      </c>
      <c r="Y6" s="18">
        <f t="shared" ref="Y6:Y27" si="11">SUM(Y5,X6)</f>
        <v>0</v>
      </c>
      <c r="Z6" s="18">
        <f t="shared" si="4"/>
        <v>0</v>
      </c>
      <c r="AA6" s="11"/>
      <c r="AB6" s="11"/>
      <c r="AC6" s="30"/>
      <c r="AD6" s="29"/>
      <c r="AE6" s="30"/>
      <c r="AF6" s="30"/>
      <c r="AG6" s="30"/>
      <c r="AH6" s="19">
        <f t="shared" ref="AH6:AH27" si="12">SUM(AG6,-AF6)</f>
        <v>0</v>
      </c>
    </row>
    <row r="7" spans="1:34" ht="13">
      <c r="A7" s="48" t="s">
        <v>53</v>
      </c>
      <c r="B7" s="32">
        <v>37877</v>
      </c>
      <c r="C7" s="5" t="s">
        <v>66</v>
      </c>
      <c r="D7" s="6" t="s">
        <v>67</v>
      </c>
      <c r="E7" s="49" t="s">
        <v>68</v>
      </c>
      <c r="F7" s="35">
        <v>175</v>
      </c>
      <c r="G7" s="17">
        <f t="shared" si="8"/>
        <v>589</v>
      </c>
      <c r="H7" s="11">
        <f>ROUND(PRODUCT(G7/4),0)</f>
        <v>147</v>
      </c>
      <c r="I7" s="11">
        <f>ROUND(PRODUCT(G7/COUNT(F4:F7)),0)</f>
        <v>147</v>
      </c>
      <c r="J7" s="42">
        <v>0.39583333333333331</v>
      </c>
      <c r="K7" s="21">
        <f t="shared" si="5"/>
        <v>1.1631944444444444</v>
      </c>
      <c r="L7" s="46">
        <f t="shared" si="0"/>
        <v>18.399999999999999</v>
      </c>
      <c r="M7" s="38"/>
      <c r="N7" s="42">
        <v>0.47916666666666669</v>
      </c>
      <c r="O7" s="21">
        <f t="shared" si="6"/>
        <v>1.3645833333333335</v>
      </c>
      <c r="P7" s="46">
        <f t="shared" si="1"/>
        <v>15.2</v>
      </c>
      <c r="Q7" s="21">
        <f t="shared" si="2"/>
        <v>8.333333333333337E-2</v>
      </c>
      <c r="R7" s="21">
        <f t="shared" si="9"/>
        <v>0.20138888888888895</v>
      </c>
      <c r="S7" s="29"/>
      <c r="T7" s="29"/>
      <c r="U7" s="18">
        <f t="shared" si="10"/>
        <v>0</v>
      </c>
      <c r="V7" s="29"/>
      <c r="W7" s="18">
        <f t="shared" si="7"/>
        <v>0</v>
      </c>
      <c r="X7" s="11">
        <f t="shared" si="3"/>
        <v>0</v>
      </c>
      <c r="Y7" s="18">
        <f t="shared" si="11"/>
        <v>0</v>
      </c>
      <c r="Z7" s="18">
        <f t="shared" si="4"/>
        <v>0</v>
      </c>
      <c r="AA7" s="29"/>
      <c r="AB7" s="29"/>
      <c r="AC7" s="30"/>
      <c r="AD7" s="29"/>
      <c r="AE7" s="30"/>
      <c r="AF7" s="30"/>
      <c r="AG7" s="30"/>
      <c r="AH7" s="19">
        <f t="shared" si="12"/>
        <v>0</v>
      </c>
    </row>
    <row r="8" spans="1:34" ht="13">
      <c r="A8" s="48" t="s">
        <v>54</v>
      </c>
      <c r="B8" s="32">
        <v>37878</v>
      </c>
      <c r="C8" s="5" t="s">
        <v>68</v>
      </c>
      <c r="D8" s="6" t="s">
        <v>69</v>
      </c>
      <c r="E8" s="49" t="s">
        <v>70</v>
      </c>
      <c r="F8" s="35">
        <v>148</v>
      </c>
      <c r="G8" s="17">
        <f t="shared" si="8"/>
        <v>737</v>
      </c>
      <c r="H8" s="11">
        <f>ROUND(PRODUCT(G8/5),0)</f>
        <v>147</v>
      </c>
      <c r="I8" s="11">
        <f>ROUND(PRODUCT(G8/COUNT(F4:F8)),0)</f>
        <v>147</v>
      </c>
      <c r="J8" s="42">
        <v>0.33333333333333331</v>
      </c>
      <c r="K8" s="21">
        <f t="shared" si="5"/>
        <v>1.4965277777777777</v>
      </c>
      <c r="L8" s="46">
        <f t="shared" si="0"/>
        <v>18.5</v>
      </c>
      <c r="M8" s="38"/>
      <c r="N8" s="42">
        <v>0.45833333333333331</v>
      </c>
      <c r="O8" s="21">
        <f t="shared" si="6"/>
        <v>1.8229166666666667</v>
      </c>
      <c r="P8" s="46">
        <f t="shared" si="1"/>
        <v>13.5</v>
      </c>
      <c r="Q8" s="21">
        <f t="shared" si="2"/>
        <v>0.125</v>
      </c>
      <c r="R8" s="21">
        <f t="shared" si="9"/>
        <v>0.32638888888888895</v>
      </c>
      <c r="S8" s="29"/>
      <c r="T8" s="29"/>
      <c r="U8" s="18">
        <f t="shared" si="10"/>
        <v>0</v>
      </c>
      <c r="V8" s="29"/>
      <c r="W8" s="18">
        <f t="shared" si="7"/>
        <v>0</v>
      </c>
      <c r="X8" s="11">
        <f t="shared" si="3"/>
        <v>0</v>
      </c>
      <c r="Y8" s="18">
        <f t="shared" si="11"/>
        <v>0</v>
      </c>
      <c r="Z8" s="18">
        <f t="shared" si="4"/>
        <v>0</v>
      </c>
      <c r="AA8" s="29"/>
      <c r="AB8" s="29"/>
      <c r="AC8" s="30"/>
      <c r="AD8" s="29"/>
      <c r="AE8" s="30"/>
      <c r="AF8" s="30"/>
      <c r="AG8" s="30"/>
      <c r="AH8" s="19">
        <f t="shared" si="12"/>
        <v>0</v>
      </c>
    </row>
    <row r="9" spans="1:34" ht="13">
      <c r="A9" s="48" t="s">
        <v>55</v>
      </c>
      <c r="B9" s="32">
        <v>37879</v>
      </c>
      <c r="C9" s="5" t="s">
        <v>70</v>
      </c>
      <c r="D9" s="6"/>
      <c r="E9" s="49" t="s">
        <v>71</v>
      </c>
      <c r="F9" s="35">
        <v>112</v>
      </c>
      <c r="G9" s="17">
        <f t="shared" si="8"/>
        <v>849</v>
      </c>
      <c r="H9" s="11">
        <f>ROUND(PRODUCT(G9/6),0)</f>
        <v>142</v>
      </c>
      <c r="I9" s="11">
        <f>ROUND(PRODUCT(G9/COUNT(F4:F9)),0)</f>
        <v>142</v>
      </c>
      <c r="J9" s="42">
        <v>0.20833333333333334</v>
      </c>
      <c r="K9" s="21">
        <f t="shared" si="5"/>
        <v>1.7048611111111109</v>
      </c>
      <c r="L9" s="46">
        <f t="shared" si="0"/>
        <v>22.4</v>
      </c>
      <c r="M9" s="38"/>
      <c r="N9" s="42">
        <v>0.25</v>
      </c>
      <c r="O9" s="21">
        <f t="shared" si="6"/>
        <v>2.072916666666667</v>
      </c>
      <c r="P9" s="46">
        <f t="shared" si="1"/>
        <v>18.7</v>
      </c>
      <c r="Q9" s="21">
        <f t="shared" si="2"/>
        <v>4.1666666666666657E-2</v>
      </c>
      <c r="R9" s="21">
        <f t="shared" si="9"/>
        <v>0.36805555555555558</v>
      </c>
      <c r="S9" s="29"/>
      <c r="T9" s="29"/>
      <c r="U9" s="18">
        <f t="shared" si="10"/>
        <v>0</v>
      </c>
      <c r="V9" s="29"/>
      <c r="W9" s="18">
        <f t="shared" si="7"/>
        <v>0</v>
      </c>
      <c r="X9" s="11">
        <f t="shared" si="3"/>
        <v>0</v>
      </c>
      <c r="Y9" s="18">
        <f t="shared" si="11"/>
        <v>0</v>
      </c>
      <c r="Z9" s="18">
        <f t="shared" si="4"/>
        <v>0</v>
      </c>
      <c r="AA9" s="29"/>
      <c r="AB9" s="29"/>
      <c r="AC9" s="30"/>
      <c r="AD9" s="29"/>
      <c r="AE9" s="30"/>
      <c r="AF9" s="30"/>
      <c r="AG9" s="30"/>
      <c r="AH9" s="19">
        <f t="shared" si="12"/>
        <v>0</v>
      </c>
    </row>
    <row r="10" spans="1:34" ht="13">
      <c r="A10" s="48" t="s">
        <v>56</v>
      </c>
      <c r="B10" s="32">
        <v>37880</v>
      </c>
      <c r="C10" s="5" t="s">
        <v>71</v>
      </c>
      <c r="D10" s="6" t="s">
        <v>72</v>
      </c>
      <c r="E10" s="49" t="s">
        <v>73</v>
      </c>
      <c r="F10" s="35">
        <v>159</v>
      </c>
      <c r="G10" s="17">
        <f t="shared" si="8"/>
        <v>1008</v>
      </c>
      <c r="H10" s="11">
        <f>ROUND(PRODUCT(G10/7),0)</f>
        <v>144</v>
      </c>
      <c r="I10" s="11">
        <f>ROUND(PRODUCT(G10/COUNT(F4:F10)),0)</f>
        <v>144</v>
      </c>
      <c r="J10" s="42">
        <v>0.33333333333333331</v>
      </c>
      <c r="K10" s="21">
        <f t="shared" si="5"/>
        <v>2.0381944444444442</v>
      </c>
      <c r="L10" s="46">
        <f t="shared" si="0"/>
        <v>19.899999999999999</v>
      </c>
      <c r="M10" s="37"/>
      <c r="N10" s="42">
        <v>0.41666666666666669</v>
      </c>
      <c r="O10" s="21">
        <f t="shared" si="6"/>
        <v>2.4895833333333335</v>
      </c>
      <c r="P10" s="46">
        <f t="shared" si="1"/>
        <v>15.9</v>
      </c>
      <c r="Q10" s="21">
        <f t="shared" si="2"/>
        <v>8.333333333333337E-2</v>
      </c>
      <c r="R10" s="21">
        <f t="shared" si="9"/>
        <v>0.45138888888888895</v>
      </c>
      <c r="S10" s="29"/>
      <c r="T10" s="11"/>
      <c r="U10" s="18">
        <f t="shared" si="10"/>
        <v>0</v>
      </c>
      <c r="V10" s="29"/>
      <c r="W10" s="18">
        <f t="shared" si="7"/>
        <v>0</v>
      </c>
      <c r="X10" s="11">
        <f t="shared" si="3"/>
        <v>0</v>
      </c>
      <c r="Y10" s="18">
        <f t="shared" si="11"/>
        <v>0</v>
      </c>
      <c r="Z10" s="18">
        <f t="shared" si="4"/>
        <v>0</v>
      </c>
      <c r="AA10" s="11"/>
      <c r="AB10" s="11"/>
      <c r="AC10" s="30"/>
      <c r="AD10" s="29"/>
      <c r="AE10" s="30"/>
      <c r="AF10" s="30"/>
      <c r="AG10" s="30"/>
      <c r="AH10" s="19">
        <f t="shared" si="12"/>
        <v>0</v>
      </c>
    </row>
    <row r="11" spans="1:34" ht="13">
      <c r="A11" s="6" t="s">
        <v>57</v>
      </c>
      <c r="B11" s="32">
        <v>37881</v>
      </c>
      <c r="C11" s="5" t="s">
        <v>73</v>
      </c>
      <c r="D11" s="6" t="s">
        <v>74</v>
      </c>
      <c r="E11" s="49" t="s">
        <v>75</v>
      </c>
      <c r="F11" s="35">
        <v>177</v>
      </c>
      <c r="G11" s="17">
        <f t="shared" si="8"/>
        <v>1185</v>
      </c>
      <c r="H11" s="11">
        <f>ROUND(PRODUCT(G11/8),0)</f>
        <v>148</v>
      </c>
      <c r="I11" s="11">
        <f>ROUND(PRODUCT(G11/COUNT(F4:F11)),0)</f>
        <v>148</v>
      </c>
      <c r="J11" s="42">
        <v>0.35416666666666669</v>
      </c>
      <c r="K11" s="21">
        <f t="shared" si="5"/>
        <v>2.3923611111111107</v>
      </c>
      <c r="L11" s="46">
        <f t="shared" si="0"/>
        <v>20.8</v>
      </c>
      <c r="M11" s="38"/>
      <c r="N11" s="42">
        <v>0.45833333333333331</v>
      </c>
      <c r="O11" s="21">
        <f t="shared" si="6"/>
        <v>2.947916666666667</v>
      </c>
      <c r="P11" s="46">
        <f t="shared" si="1"/>
        <v>16.100000000000001</v>
      </c>
      <c r="Q11" s="21">
        <f t="shared" si="2"/>
        <v>0.10416666666666663</v>
      </c>
      <c r="R11" s="21">
        <f t="shared" si="9"/>
        <v>0.55555555555555558</v>
      </c>
      <c r="S11" s="29"/>
      <c r="T11" s="29"/>
      <c r="U11" s="18">
        <f t="shared" si="10"/>
        <v>0</v>
      </c>
      <c r="V11" s="29"/>
      <c r="W11" s="18">
        <f t="shared" si="7"/>
        <v>0</v>
      </c>
      <c r="X11" s="11">
        <f t="shared" si="3"/>
        <v>0</v>
      </c>
      <c r="Y11" s="18">
        <f t="shared" si="11"/>
        <v>0</v>
      </c>
      <c r="Z11" s="18">
        <f t="shared" si="4"/>
        <v>0</v>
      </c>
      <c r="AA11" s="29"/>
      <c r="AB11" s="29"/>
      <c r="AC11" s="30"/>
      <c r="AD11" s="29"/>
      <c r="AE11" s="30"/>
      <c r="AF11" s="30"/>
      <c r="AG11" s="30"/>
      <c r="AH11" s="19">
        <f t="shared" si="12"/>
        <v>0</v>
      </c>
    </row>
    <row r="12" spans="1:34" ht="13">
      <c r="A12" s="6" t="s">
        <v>58</v>
      </c>
      <c r="B12" s="32">
        <v>37882</v>
      </c>
      <c r="C12" s="5"/>
      <c r="D12" s="6" t="s">
        <v>75</v>
      </c>
      <c r="E12" s="49"/>
      <c r="F12" s="35"/>
      <c r="G12" s="17">
        <f t="shared" si="8"/>
        <v>1185</v>
      </c>
      <c r="H12" s="11">
        <f>ROUND(PRODUCT(G12/9),0)</f>
        <v>132</v>
      </c>
      <c r="I12" s="11">
        <f>ROUND(PRODUCT(G12/COUNT(F4:F12)),0)</f>
        <v>148</v>
      </c>
      <c r="J12" s="42"/>
      <c r="K12" s="21">
        <f t="shared" si="5"/>
        <v>2.3923611111111107</v>
      </c>
      <c r="L12" s="46">
        <f t="shared" si="0"/>
        <v>0</v>
      </c>
      <c r="M12" s="37"/>
      <c r="N12" s="42"/>
      <c r="O12" s="21">
        <f t="shared" si="6"/>
        <v>2.947916666666667</v>
      </c>
      <c r="P12" s="46">
        <f t="shared" si="1"/>
        <v>0</v>
      </c>
      <c r="Q12" s="21">
        <f t="shared" si="2"/>
        <v>0</v>
      </c>
      <c r="R12" s="21">
        <f t="shared" si="9"/>
        <v>0.55555555555555558</v>
      </c>
      <c r="S12" s="11"/>
      <c r="T12" s="11"/>
      <c r="U12" s="18">
        <f t="shared" si="10"/>
        <v>0</v>
      </c>
      <c r="V12" s="29"/>
      <c r="W12" s="18">
        <f t="shared" si="7"/>
        <v>0</v>
      </c>
      <c r="X12" s="11">
        <f t="shared" si="3"/>
        <v>0</v>
      </c>
      <c r="Y12" s="18">
        <f t="shared" si="11"/>
        <v>0</v>
      </c>
      <c r="Z12" s="18">
        <f t="shared" si="4"/>
        <v>0</v>
      </c>
      <c r="AA12" s="11"/>
      <c r="AB12" s="11"/>
      <c r="AC12" s="30"/>
      <c r="AD12" s="29"/>
      <c r="AE12" s="30"/>
      <c r="AF12" s="30"/>
      <c r="AG12" s="30"/>
      <c r="AH12" s="19">
        <f t="shared" si="12"/>
        <v>0</v>
      </c>
    </row>
    <row r="13" spans="1:34" ht="13">
      <c r="A13" s="6" t="s">
        <v>5</v>
      </c>
      <c r="B13" s="32">
        <v>37883</v>
      </c>
      <c r="C13" s="5" t="s">
        <v>75</v>
      </c>
      <c r="D13" s="6"/>
      <c r="E13" s="49" t="s">
        <v>76</v>
      </c>
      <c r="F13" s="35">
        <v>139</v>
      </c>
      <c r="G13" s="17">
        <f t="shared" si="8"/>
        <v>1324</v>
      </c>
      <c r="H13" s="11">
        <f>ROUND(PRODUCT(G13/10),0)</f>
        <v>132</v>
      </c>
      <c r="I13" s="11">
        <f>ROUND(PRODUCT(G13/COUNT(F4:F13)),0)</f>
        <v>147</v>
      </c>
      <c r="J13" s="42">
        <v>0.35416666666666669</v>
      </c>
      <c r="K13" s="21">
        <f t="shared" si="5"/>
        <v>2.7465277777777772</v>
      </c>
      <c r="L13" s="46">
        <f t="shared" si="0"/>
        <v>16.399999999999999</v>
      </c>
      <c r="M13" s="38"/>
      <c r="N13" s="42">
        <v>0.41666666666666669</v>
      </c>
      <c r="O13" s="21">
        <f t="shared" si="6"/>
        <v>3.3645833333333335</v>
      </c>
      <c r="P13" s="46">
        <f t="shared" si="1"/>
        <v>13.9</v>
      </c>
      <c r="Q13" s="21">
        <f t="shared" si="2"/>
        <v>6.25E-2</v>
      </c>
      <c r="R13" s="21">
        <f t="shared" si="9"/>
        <v>0.61805555555555558</v>
      </c>
      <c r="S13" s="29"/>
      <c r="T13" s="29"/>
      <c r="U13" s="18">
        <f t="shared" si="10"/>
        <v>0</v>
      </c>
      <c r="V13" s="29"/>
      <c r="W13" s="18">
        <f t="shared" si="7"/>
        <v>0</v>
      </c>
      <c r="X13" s="11">
        <f t="shared" si="3"/>
        <v>0</v>
      </c>
      <c r="Y13" s="18">
        <f t="shared" si="11"/>
        <v>0</v>
      </c>
      <c r="Z13" s="18">
        <f t="shared" si="4"/>
        <v>0</v>
      </c>
      <c r="AA13" s="29"/>
      <c r="AB13" s="29"/>
      <c r="AC13" s="30"/>
      <c r="AD13" s="29"/>
      <c r="AE13" s="30"/>
      <c r="AF13" s="30"/>
      <c r="AG13" s="30"/>
      <c r="AH13" s="19">
        <f t="shared" si="12"/>
        <v>0</v>
      </c>
    </row>
    <row r="14" spans="1:34" ht="13">
      <c r="A14" s="6" t="s">
        <v>7</v>
      </c>
      <c r="B14" s="32">
        <v>37884</v>
      </c>
      <c r="C14" s="5" t="s">
        <v>76</v>
      </c>
      <c r="D14" s="6" t="s">
        <v>77</v>
      </c>
      <c r="E14" s="49" t="s">
        <v>78</v>
      </c>
      <c r="F14" s="35">
        <v>159</v>
      </c>
      <c r="G14" s="17">
        <f t="shared" si="8"/>
        <v>1483</v>
      </c>
      <c r="H14" s="11">
        <f>ROUND(PRODUCT(G14/11),0)</f>
        <v>135</v>
      </c>
      <c r="I14" s="11">
        <f>ROUND(PRODUCT(G14/COUNT(F4:F14)),0)</f>
        <v>148</v>
      </c>
      <c r="J14" s="42">
        <v>0.3125</v>
      </c>
      <c r="K14" s="21">
        <f t="shared" si="5"/>
        <v>3.0590277777777772</v>
      </c>
      <c r="L14" s="46">
        <f t="shared" si="0"/>
        <v>21.2</v>
      </c>
      <c r="M14" s="38"/>
      <c r="N14" s="42">
        <v>0.39583333333333331</v>
      </c>
      <c r="O14" s="21">
        <f t="shared" si="6"/>
        <v>3.760416666666667</v>
      </c>
      <c r="P14" s="46">
        <f t="shared" si="1"/>
        <v>16.7</v>
      </c>
      <c r="Q14" s="21">
        <f t="shared" si="2"/>
        <v>8.3333333333333315E-2</v>
      </c>
      <c r="R14" s="21">
        <f t="shared" si="9"/>
        <v>0.70138888888888884</v>
      </c>
      <c r="S14" s="29"/>
      <c r="T14" s="29"/>
      <c r="U14" s="18">
        <f t="shared" si="10"/>
        <v>0</v>
      </c>
      <c r="V14" s="29"/>
      <c r="W14" s="18">
        <f t="shared" si="7"/>
        <v>0</v>
      </c>
      <c r="X14" s="11">
        <f t="shared" si="3"/>
        <v>0</v>
      </c>
      <c r="Y14" s="18">
        <f t="shared" si="11"/>
        <v>0</v>
      </c>
      <c r="Z14" s="18">
        <f t="shared" si="4"/>
        <v>0</v>
      </c>
      <c r="AA14" s="29"/>
      <c r="AB14" s="29"/>
      <c r="AC14" s="30"/>
      <c r="AD14" s="29"/>
      <c r="AE14" s="30"/>
      <c r="AF14" s="30"/>
      <c r="AG14" s="30"/>
      <c r="AH14" s="19">
        <f t="shared" si="12"/>
        <v>0</v>
      </c>
    </row>
    <row r="15" spans="1:34" ht="13">
      <c r="A15" s="6" t="s">
        <v>35</v>
      </c>
      <c r="B15" s="32">
        <v>37885</v>
      </c>
      <c r="C15" s="5" t="s">
        <v>78</v>
      </c>
      <c r="D15" s="6" t="s">
        <v>79</v>
      </c>
      <c r="E15" s="49" t="s">
        <v>80</v>
      </c>
      <c r="F15" s="35">
        <v>174</v>
      </c>
      <c r="G15" s="17">
        <f t="shared" si="8"/>
        <v>1657</v>
      </c>
      <c r="H15" s="11">
        <f>ROUND(PRODUCT(G15/12),0)</f>
        <v>138</v>
      </c>
      <c r="I15" s="11">
        <f>ROUND(PRODUCT(G15/COUNT(F4:F15)),0)</f>
        <v>151</v>
      </c>
      <c r="J15" s="42">
        <v>0.33333333333333331</v>
      </c>
      <c r="K15" s="21">
        <f t="shared" si="5"/>
        <v>3.3923611111111107</v>
      </c>
      <c r="L15" s="46">
        <f t="shared" si="0"/>
        <v>21.8</v>
      </c>
      <c r="M15" s="37"/>
      <c r="N15" s="42">
        <v>0.375</v>
      </c>
      <c r="O15" s="21">
        <f t="shared" si="6"/>
        <v>4.135416666666667</v>
      </c>
      <c r="P15" s="46">
        <f t="shared" si="1"/>
        <v>19.3</v>
      </c>
      <c r="Q15" s="21">
        <f t="shared" si="2"/>
        <v>4.1666666666666685E-2</v>
      </c>
      <c r="R15" s="21">
        <f t="shared" si="9"/>
        <v>0.74305555555555558</v>
      </c>
      <c r="S15" s="11"/>
      <c r="T15" s="11"/>
      <c r="U15" s="18">
        <f t="shared" si="10"/>
        <v>0</v>
      </c>
      <c r="V15" s="29"/>
      <c r="W15" s="18">
        <f t="shared" si="7"/>
        <v>0</v>
      </c>
      <c r="X15" s="11">
        <f t="shared" si="3"/>
        <v>0</v>
      </c>
      <c r="Y15" s="18">
        <f t="shared" si="11"/>
        <v>0</v>
      </c>
      <c r="Z15" s="18">
        <f t="shared" si="4"/>
        <v>0</v>
      </c>
      <c r="AA15" s="11"/>
      <c r="AB15" s="11"/>
      <c r="AC15" s="30"/>
      <c r="AD15" s="29"/>
      <c r="AE15" s="30"/>
      <c r="AF15" s="30"/>
      <c r="AG15" s="30"/>
      <c r="AH15" s="19">
        <f t="shared" si="12"/>
        <v>0</v>
      </c>
    </row>
    <row r="16" spans="1:34" ht="13">
      <c r="A16" s="6" t="s">
        <v>36</v>
      </c>
      <c r="B16" s="32">
        <v>37886</v>
      </c>
      <c r="C16" s="5" t="s">
        <v>80</v>
      </c>
      <c r="D16" s="6" t="s">
        <v>81</v>
      </c>
      <c r="E16" s="49" t="s">
        <v>82</v>
      </c>
      <c r="F16" s="35">
        <v>197</v>
      </c>
      <c r="G16" s="17">
        <f t="shared" si="8"/>
        <v>1854</v>
      </c>
      <c r="H16" s="11">
        <f>ROUND(PRODUCT(G16/13),0)</f>
        <v>143</v>
      </c>
      <c r="I16" s="11">
        <f>ROUND(PRODUCT(G16/COUNT(F4:F16)),0)</f>
        <v>155</v>
      </c>
      <c r="J16" s="42">
        <v>0.5</v>
      </c>
      <c r="K16" s="21">
        <f t="shared" si="5"/>
        <v>3.8923611111111107</v>
      </c>
      <c r="L16" s="46">
        <f t="shared" si="0"/>
        <v>16.399999999999999</v>
      </c>
      <c r="M16" s="37"/>
      <c r="N16" s="42">
        <v>0.58333333333333337</v>
      </c>
      <c r="O16" s="21">
        <f t="shared" si="6"/>
        <v>4.71875</v>
      </c>
      <c r="P16" s="46">
        <f t="shared" si="1"/>
        <v>14.1</v>
      </c>
      <c r="Q16" s="21">
        <f t="shared" si="2"/>
        <v>8.333333333333337E-2</v>
      </c>
      <c r="R16" s="21">
        <f t="shared" si="9"/>
        <v>0.82638888888888895</v>
      </c>
      <c r="S16" s="11"/>
      <c r="T16" s="11"/>
      <c r="U16" s="18">
        <f t="shared" si="10"/>
        <v>0</v>
      </c>
      <c r="V16" s="29"/>
      <c r="W16" s="18">
        <f t="shared" si="7"/>
        <v>0</v>
      </c>
      <c r="X16" s="11">
        <f t="shared" si="3"/>
        <v>0</v>
      </c>
      <c r="Y16" s="18">
        <f t="shared" si="11"/>
        <v>0</v>
      </c>
      <c r="Z16" s="18">
        <f t="shared" si="4"/>
        <v>0</v>
      </c>
      <c r="AA16" s="11"/>
      <c r="AB16" s="11"/>
      <c r="AC16" s="30"/>
      <c r="AD16" s="29"/>
      <c r="AE16" s="30"/>
      <c r="AF16" s="30"/>
      <c r="AG16" s="30"/>
      <c r="AH16" s="19">
        <f t="shared" si="12"/>
        <v>0</v>
      </c>
    </row>
    <row r="17" spans="1:34" ht="13">
      <c r="A17" s="6" t="s">
        <v>37</v>
      </c>
      <c r="B17" s="32">
        <v>37887</v>
      </c>
      <c r="C17" s="5"/>
      <c r="D17" s="6" t="s">
        <v>82</v>
      </c>
      <c r="E17" s="49"/>
      <c r="F17" s="35"/>
      <c r="G17" s="17">
        <f t="shared" si="8"/>
        <v>1854</v>
      </c>
      <c r="H17" s="11">
        <f>ROUND(PRODUCT(G17/14),0)</f>
        <v>132</v>
      </c>
      <c r="I17" s="11">
        <f>ROUND(PRODUCT(G17/COUNT(F4:F17)),0)</f>
        <v>155</v>
      </c>
      <c r="J17" s="42"/>
      <c r="K17" s="21">
        <f t="shared" si="5"/>
        <v>3.8923611111111107</v>
      </c>
      <c r="L17" s="46">
        <f t="shared" si="0"/>
        <v>0</v>
      </c>
      <c r="M17" s="37"/>
      <c r="N17" s="42"/>
      <c r="O17" s="21">
        <f t="shared" si="6"/>
        <v>4.71875</v>
      </c>
      <c r="P17" s="46">
        <f t="shared" si="1"/>
        <v>0</v>
      </c>
      <c r="Q17" s="21">
        <f t="shared" si="2"/>
        <v>0</v>
      </c>
      <c r="R17" s="21">
        <f t="shared" si="9"/>
        <v>0.82638888888888895</v>
      </c>
      <c r="S17" s="11"/>
      <c r="T17" s="11"/>
      <c r="U17" s="18">
        <f t="shared" si="10"/>
        <v>0</v>
      </c>
      <c r="V17" s="29"/>
      <c r="W17" s="18">
        <f t="shared" si="7"/>
        <v>0</v>
      </c>
      <c r="X17" s="11">
        <f t="shared" si="3"/>
        <v>0</v>
      </c>
      <c r="Y17" s="18">
        <f t="shared" si="11"/>
        <v>0</v>
      </c>
      <c r="Z17" s="18">
        <f t="shared" si="4"/>
        <v>0</v>
      </c>
      <c r="AA17" s="11"/>
      <c r="AB17" s="11"/>
      <c r="AC17" s="30"/>
      <c r="AD17" s="29"/>
      <c r="AE17" s="30"/>
      <c r="AF17" s="30"/>
      <c r="AG17" s="30"/>
      <c r="AH17" s="19">
        <f t="shared" si="12"/>
        <v>0</v>
      </c>
    </row>
    <row r="18" spans="1:34" ht="13">
      <c r="A18" s="6" t="s">
        <v>38</v>
      </c>
      <c r="B18" s="32">
        <v>37888</v>
      </c>
      <c r="C18" s="5" t="s">
        <v>82</v>
      </c>
      <c r="D18" s="6"/>
      <c r="E18" s="49" t="s">
        <v>83</v>
      </c>
      <c r="F18" s="35">
        <v>115</v>
      </c>
      <c r="G18" s="17">
        <f t="shared" si="8"/>
        <v>1969</v>
      </c>
      <c r="H18" s="11">
        <f>ROUND(PRODUCT(G18/15),0)</f>
        <v>131</v>
      </c>
      <c r="I18" s="11">
        <f>ROUND(PRODUCT(G18/COUNT(F4:F18)),0)</f>
        <v>151</v>
      </c>
      <c r="J18" s="42">
        <v>0.33333333333333331</v>
      </c>
      <c r="K18" s="21">
        <f t="shared" si="5"/>
        <v>4.2256944444444438</v>
      </c>
      <c r="L18" s="46">
        <f t="shared" si="0"/>
        <v>14.4</v>
      </c>
      <c r="M18" s="37"/>
      <c r="N18" s="42">
        <v>0.39583333333333331</v>
      </c>
      <c r="O18" s="21">
        <f t="shared" si="6"/>
        <v>5.114583333333333</v>
      </c>
      <c r="P18" s="46">
        <f t="shared" si="1"/>
        <v>12.1</v>
      </c>
      <c r="Q18" s="21">
        <f t="shared" si="2"/>
        <v>6.25E-2</v>
      </c>
      <c r="R18" s="21">
        <f t="shared" si="9"/>
        <v>0.88888888888888895</v>
      </c>
      <c r="S18" s="29"/>
      <c r="T18" s="11"/>
      <c r="U18" s="18">
        <f t="shared" si="10"/>
        <v>0</v>
      </c>
      <c r="V18" s="29"/>
      <c r="W18" s="18">
        <f t="shared" si="7"/>
        <v>0</v>
      </c>
      <c r="X18" s="11">
        <f t="shared" si="3"/>
        <v>0</v>
      </c>
      <c r="Y18" s="18">
        <f t="shared" si="11"/>
        <v>0</v>
      </c>
      <c r="Z18" s="18">
        <f t="shared" si="4"/>
        <v>0</v>
      </c>
      <c r="AA18" s="11"/>
      <c r="AB18" s="11"/>
      <c r="AC18" s="30"/>
      <c r="AD18" s="29"/>
      <c r="AE18" s="30"/>
      <c r="AF18" s="30"/>
      <c r="AG18" s="30"/>
      <c r="AH18" s="19">
        <f t="shared" si="12"/>
        <v>0</v>
      </c>
    </row>
    <row r="19" spans="1:34" ht="13">
      <c r="A19" s="6" t="s">
        <v>39</v>
      </c>
      <c r="B19" s="32">
        <v>37889</v>
      </c>
      <c r="C19" s="5" t="s">
        <v>83</v>
      </c>
      <c r="D19" s="6" t="s">
        <v>84</v>
      </c>
      <c r="E19" s="49" t="s">
        <v>85</v>
      </c>
      <c r="F19" s="35">
        <v>155</v>
      </c>
      <c r="G19" s="17">
        <f t="shared" si="8"/>
        <v>2124</v>
      </c>
      <c r="H19" s="11">
        <f>ROUND(PRODUCT(G19/16),0)</f>
        <v>133</v>
      </c>
      <c r="I19" s="11">
        <f>ROUND(PRODUCT(G19/COUNT(F4:F19)),0)</f>
        <v>152</v>
      </c>
      <c r="J19" s="42">
        <v>0.35416666666666669</v>
      </c>
      <c r="K19" s="21">
        <f t="shared" si="5"/>
        <v>4.5798611111111107</v>
      </c>
      <c r="L19" s="46">
        <f t="shared" si="0"/>
        <v>18.2</v>
      </c>
      <c r="M19" s="37"/>
      <c r="N19" s="42">
        <v>0.39583333333333331</v>
      </c>
      <c r="O19" s="21">
        <f t="shared" si="6"/>
        <v>5.5104166666666661</v>
      </c>
      <c r="P19" s="46">
        <f t="shared" si="1"/>
        <v>16.3</v>
      </c>
      <c r="Q19" s="21">
        <f t="shared" si="2"/>
        <v>4.166666666666663E-2</v>
      </c>
      <c r="R19" s="21">
        <f t="shared" si="9"/>
        <v>0.93055555555555558</v>
      </c>
      <c r="S19" s="11"/>
      <c r="T19" s="11"/>
      <c r="U19" s="18">
        <f t="shared" si="10"/>
        <v>0</v>
      </c>
      <c r="V19" s="29"/>
      <c r="W19" s="18">
        <f t="shared" si="7"/>
        <v>0</v>
      </c>
      <c r="X19" s="11">
        <f t="shared" si="3"/>
        <v>0</v>
      </c>
      <c r="Y19" s="18">
        <f t="shared" si="11"/>
        <v>0</v>
      </c>
      <c r="Z19" s="18">
        <f t="shared" si="4"/>
        <v>0</v>
      </c>
      <c r="AA19" s="11"/>
      <c r="AB19" s="11"/>
      <c r="AC19" s="30"/>
      <c r="AD19" s="29"/>
      <c r="AE19" s="30"/>
      <c r="AF19" s="30"/>
      <c r="AG19" s="30"/>
      <c r="AH19" s="19">
        <f t="shared" si="12"/>
        <v>0</v>
      </c>
    </row>
    <row r="20" spans="1:34" ht="13">
      <c r="A20" s="6" t="s">
        <v>40</v>
      </c>
      <c r="B20" s="32">
        <v>37890</v>
      </c>
      <c r="C20" s="5" t="s">
        <v>85</v>
      </c>
      <c r="D20" s="6" t="s">
        <v>86</v>
      </c>
      <c r="E20" s="49" t="s">
        <v>87</v>
      </c>
      <c r="F20" s="35">
        <v>123</v>
      </c>
      <c r="G20" s="17">
        <f t="shared" si="8"/>
        <v>2247</v>
      </c>
      <c r="H20" s="11">
        <f>ROUND(PRODUCT(G20/17),0)</f>
        <v>132</v>
      </c>
      <c r="I20" s="11">
        <f>ROUND(PRODUCT(G20/COUNT(F4:F20)),0)</f>
        <v>150</v>
      </c>
      <c r="J20" s="42">
        <v>0.22916666666666666</v>
      </c>
      <c r="K20" s="21">
        <f t="shared" si="5"/>
        <v>4.8090277777777777</v>
      </c>
      <c r="L20" s="46">
        <f t="shared" si="0"/>
        <v>22.4</v>
      </c>
      <c r="M20" s="37"/>
      <c r="N20" s="42">
        <v>0.45833333333333331</v>
      </c>
      <c r="O20" s="21">
        <f t="shared" si="6"/>
        <v>5.9687499999999991</v>
      </c>
      <c r="P20" s="46">
        <f t="shared" si="1"/>
        <v>11.2</v>
      </c>
      <c r="Q20" s="21">
        <f t="shared" si="2"/>
        <v>0.22916666666666666</v>
      </c>
      <c r="R20" s="21">
        <f t="shared" si="9"/>
        <v>1.1597222222222223</v>
      </c>
      <c r="S20" s="11"/>
      <c r="T20" s="11"/>
      <c r="U20" s="18">
        <f t="shared" si="10"/>
        <v>0</v>
      </c>
      <c r="V20" s="29"/>
      <c r="W20" s="18">
        <f t="shared" si="7"/>
        <v>0</v>
      </c>
      <c r="X20" s="11">
        <f t="shared" si="3"/>
        <v>0</v>
      </c>
      <c r="Y20" s="18">
        <f t="shared" si="11"/>
        <v>0</v>
      </c>
      <c r="Z20" s="18">
        <f t="shared" si="4"/>
        <v>0</v>
      </c>
      <c r="AA20" s="11"/>
      <c r="AB20" s="11"/>
      <c r="AC20" s="30"/>
      <c r="AD20" s="29"/>
      <c r="AE20" s="30"/>
      <c r="AF20" s="30"/>
      <c r="AG20" s="30"/>
      <c r="AH20" s="19">
        <f t="shared" si="12"/>
        <v>0</v>
      </c>
    </row>
    <row r="21" spans="1:34" ht="13">
      <c r="A21" s="6" t="s">
        <v>41</v>
      </c>
      <c r="B21" s="32">
        <v>37891</v>
      </c>
      <c r="C21" s="5" t="s">
        <v>87</v>
      </c>
      <c r="D21" s="6"/>
      <c r="E21" s="49" t="s">
        <v>88</v>
      </c>
      <c r="F21" s="35">
        <v>167</v>
      </c>
      <c r="G21" s="17">
        <f t="shared" si="8"/>
        <v>2414</v>
      </c>
      <c r="H21" s="11">
        <f>ROUND(PRODUCT(G21/18),0)</f>
        <v>134</v>
      </c>
      <c r="I21" s="11">
        <f>ROUND(PRODUCT(G21/COUNT(F4:F21)),0)</f>
        <v>151</v>
      </c>
      <c r="J21" s="42">
        <v>0.3125</v>
      </c>
      <c r="K21" s="21">
        <f t="shared" si="5"/>
        <v>5.1215277777777777</v>
      </c>
      <c r="L21" s="46">
        <f t="shared" si="0"/>
        <v>22.3</v>
      </c>
      <c r="M21" s="38"/>
      <c r="N21" s="42">
        <v>0.375</v>
      </c>
      <c r="O21" s="21">
        <f t="shared" si="6"/>
        <v>6.3437499999999991</v>
      </c>
      <c r="P21" s="46">
        <f t="shared" si="1"/>
        <v>18.600000000000001</v>
      </c>
      <c r="Q21" s="21">
        <f t="shared" si="2"/>
        <v>6.25E-2</v>
      </c>
      <c r="R21" s="21">
        <f t="shared" si="9"/>
        <v>1.2222222222222223</v>
      </c>
      <c r="S21" s="29"/>
      <c r="T21" s="29"/>
      <c r="U21" s="18">
        <f t="shared" si="10"/>
        <v>0</v>
      </c>
      <c r="V21" s="29"/>
      <c r="W21" s="18">
        <f t="shared" si="7"/>
        <v>0</v>
      </c>
      <c r="X21" s="11">
        <f t="shared" si="3"/>
        <v>0</v>
      </c>
      <c r="Y21" s="18">
        <f t="shared" si="11"/>
        <v>0</v>
      </c>
      <c r="Z21" s="18">
        <f t="shared" si="4"/>
        <v>0</v>
      </c>
      <c r="AA21" s="29"/>
      <c r="AB21" s="29"/>
      <c r="AC21" s="30"/>
      <c r="AD21" s="29"/>
      <c r="AE21" s="30"/>
      <c r="AF21" s="30"/>
      <c r="AG21" s="30"/>
      <c r="AH21" s="19">
        <f t="shared" si="12"/>
        <v>0</v>
      </c>
    </row>
    <row r="22" spans="1:34" ht="13">
      <c r="A22" s="6" t="s">
        <v>42</v>
      </c>
      <c r="B22" s="32">
        <v>37892</v>
      </c>
      <c r="C22" s="5" t="s">
        <v>88</v>
      </c>
      <c r="D22" s="6" t="s">
        <v>89</v>
      </c>
      <c r="E22" s="49" t="s">
        <v>90</v>
      </c>
      <c r="F22" s="35">
        <v>224</v>
      </c>
      <c r="G22" s="17">
        <f t="shared" si="8"/>
        <v>2638</v>
      </c>
      <c r="H22" s="11">
        <f>ROUND(PRODUCT(G22/19),0)</f>
        <v>139</v>
      </c>
      <c r="I22" s="11">
        <f>ROUND(PRODUCT(G22/COUNT(F4:F22)),0)</f>
        <v>155</v>
      </c>
      <c r="J22" s="42">
        <v>0.4375</v>
      </c>
      <c r="K22" s="21">
        <f t="shared" si="5"/>
        <v>5.5590277777777777</v>
      </c>
      <c r="L22" s="46">
        <f t="shared" si="0"/>
        <v>21.3</v>
      </c>
      <c r="M22" s="38"/>
      <c r="N22" s="42">
        <v>0.47916666666666669</v>
      </c>
      <c r="O22" s="21">
        <f t="shared" si="6"/>
        <v>6.8229166666666661</v>
      </c>
      <c r="P22" s="46">
        <f t="shared" si="1"/>
        <v>19.5</v>
      </c>
      <c r="Q22" s="21">
        <f t="shared" si="2"/>
        <v>4.1666666666666685E-2</v>
      </c>
      <c r="R22" s="21">
        <f t="shared" si="9"/>
        <v>1.2638888888888891</v>
      </c>
      <c r="S22" s="29"/>
      <c r="T22" s="29"/>
      <c r="U22" s="18">
        <f t="shared" si="10"/>
        <v>0</v>
      </c>
      <c r="V22" s="29"/>
      <c r="W22" s="18">
        <f t="shared" si="7"/>
        <v>0</v>
      </c>
      <c r="X22" s="11">
        <f t="shared" si="3"/>
        <v>0</v>
      </c>
      <c r="Y22" s="18">
        <f t="shared" si="11"/>
        <v>0</v>
      </c>
      <c r="Z22" s="18">
        <f t="shared" si="4"/>
        <v>0</v>
      </c>
      <c r="AA22" s="29"/>
      <c r="AB22" s="29"/>
      <c r="AC22" s="30"/>
      <c r="AD22" s="29"/>
      <c r="AE22" s="30"/>
      <c r="AF22" s="30"/>
      <c r="AG22" s="30"/>
      <c r="AH22" s="19">
        <f t="shared" si="12"/>
        <v>0</v>
      </c>
    </row>
    <row r="23" spans="1:34" ht="13">
      <c r="A23" s="47" t="s">
        <v>45</v>
      </c>
      <c r="B23" s="32">
        <v>37893</v>
      </c>
      <c r="C23" s="5" t="s">
        <v>90</v>
      </c>
      <c r="D23" s="6" t="s">
        <v>91</v>
      </c>
      <c r="E23" s="49" t="s">
        <v>92</v>
      </c>
      <c r="F23" s="35">
        <v>101</v>
      </c>
      <c r="G23" s="17">
        <f t="shared" si="8"/>
        <v>2739</v>
      </c>
      <c r="H23" s="11">
        <f>ROUND(PRODUCT(G23/20),0)</f>
        <v>137</v>
      </c>
      <c r="I23" s="11">
        <f>ROUND(PRODUCT(G23/COUNT(F4:F23)),0)</f>
        <v>152</v>
      </c>
      <c r="J23" s="42">
        <v>0.20833333333333334</v>
      </c>
      <c r="K23" s="21">
        <f t="shared" si="5"/>
        <v>5.7673611111111107</v>
      </c>
      <c r="L23" s="46">
        <f t="shared" si="0"/>
        <v>20.2</v>
      </c>
      <c r="M23" s="38"/>
      <c r="N23" s="42">
        <v>0.375</v>
      </c>
      <c r="O23" s="21">
        <f t="shared" si="6"/>
        <v>7.1979166666666661</v>
      </c>
      <c r="P23" s="46">
        <f t="shared" si="1"/>
        <v>11.2</v>
      </c>
      <c r="Q23" s="21">
        <f t="shared" si="2"/>
        <v>0.16666666666666666</v>
      </c>
      <c r="R23" s="21">
        <f t="shared" si="9"/>
        <v>1.4305555555555558</v>
      </c>
      <c r="S23" s="29"/>
      <c r="T23" s="29"/>
      <c r="U23" s="18">
        <f t="shared" si="10"/>
        <v>0</v>
      </c>
      <c r="V23" s="29"/>
      <c r="W23" s="18">
        <f t="shared" si="7"/>
        <v>0</v>
      </c>
      <c r="X23" s="11">
        <f t="shared" si="3"/>
        <v>0</v>
      </c>
      <c r="Y23" s="18">
        <f t="shared" si="11"/>
        <v>0</v>
      </c>
      <c r="Z23" s="18">
        <f t="shared" si="4"/>
        <v>0</v>
      </c>
      <c r="AA23" s="29"/>
      <c r="AB23" s="29"/>
      <c r="AC23" s="30"/>
      <c r="AD23" s="29"/>
      <c r="AE23" s="30"/>
      <c r="AF23" s="30"/>
      <c r="AG23" s="30"/>
      <c r="AH23" s="19">
        <f t="shared" si="12"/>
        <v>0</v>
      </c>
    </row>
    <row r="24" spans="1:34" ht="13">
      <c r="A24" s="47" t="s">
        <v>46</v>
      </c>
      <c r="B24" s="32">
        <v>37894</v>
      </c>
      <c r="C24" s="5" t="s">
        <v>92</v>
      </c>
      <c r="D24" s="6" t="s">
        <v>93</v>
      </c>
      <c r="E24" s="49" t="s">
        <v>94</v>
      </c>
      <c r="F24" s="35">
        <v>137</v>
      </c>
      <c r="G24" s="17">
        <f t="shared" si="8"/>
        <v>2876</v>
      </c>
      <c r="H24" s="11">
        <f>ROUND(PRODUCT(G24/21),0)</f>
        <v>137</v>
      </c>
      <c r="I24" s="11">
        <f>ROUND(PRODUCT(G24/COUNT(F4:F24)),0)</f>
        <v>151</v>
      </c>
      <c r="J24" s="42">
        <v>0.33333333333333331</v>
      </c>
      <c r="K24" s="21">
        <f t="shared" si="5"/>
        <v>6.1006944444444438</v>
      </c>
      <c r="L24" s="46">
        <f t="shared" si="0"/>
        <v>17.100000000000001</v>
      </c>
      <c r="M24" s="38"/>
      <c r="N24" s="42">
        <v>0.41666666666666669</v>
      </c>
      <c r="O24" s="21">
        <f t="shared" si="6"/>
        <v>7.614583333333333</v>
      </c>
      <c r="P24" s="46">
        <f t="shared" si="1"/>
        <v>13.7</v>
      </c>
      <c r="Q24" s="21">
        <f t="shared" si="2"/>
        <v>8.333333333333337E-2</v>
      </c>
      <c r="R24" s="21">
        <f t="shared" si="9"/>
        <v>1.5138888888888893</v>
      </c>
      <c r="S24" s="29"/>
      <c r="T24" s="29"/>
      <c r="U24" s="18">
        <f t="shared" si="10"/>
        <v>0</v>
      </c>
      <c r="V24" s="29"/>
      <c r="W24" s="18">
        <f t="shared" si="7"/>
        <v>0</v>
      </c>
      <c r="X24" s="11">
        <f t="shared" si="3"/>
        <v>0</v>
      </c>
      <c r="Y24" s="18">
        <f t="shared" si="11"/>
        <v>0</v>
      </c>
      <c r="Z24" s="18">
        <f t="shared" si="4"/>
        <v>0</v>
      </c>
      <c r="AA24" s="29"/>
      <c r="AB24" s="29"/>
      <c r="AC24" s="30"/>
      <c r="AD24" s="29"/>
      <c r="AE24" s="30"/>
      <c r="AF24" s="30"/>
      <c r="AG24" s="30"/>
      <c r="AH24" s="19">
        <f t="shared" si="12"/>
        <v>0</v>
      </c>
    </row>
    <row r="25" spans="1:34" ht="13">
      <c r="A25" s="47" t="s">
        <v>47</v>
      </c>
      <c r="B25" s="32">
        <v>37895</v>
      </c>
      <c r="C25" s="5" t="s">
        <v>94</v>
      </c>
      <c r="D25" s="6" t="s">
        <v>95</v>
      </c>
      <c r="E25" s="49" t="s">
        <v>96</v>
      </c>
      <c r="F25" s="35">
        <v>209</v>
      </c>
      <c r="G25" s="17">
        <f t="shared" si="8"/>
        <v>3085</v>
      </c>
      <c r="H25" s="11">
        <f>ROUND(PRODUCT(G25/22),0)</f>
        <v>140</v>
      </c>
      <c r="I25" s="11">
        <f>ROUND(PRODUCT(G25/COUNT(F4:F25)),0)</f>
        <v>154</v>
      </c>
      <c r="J25" s="42">
        <v>0.41666666666666669</v>
      </c>
      <c r="K25" s="21">
        <f t="shared" si="5"/>
        <v>6.5173611111111107</v>
      </c>
      <c r="L25" s="46">
        <f t="shared" si="0"/>
        <v>20.9</v>
      </c>
      <c r="M25" s="38"/>
      <c r="N25" s="42">
        <v>0.5</v>
      </c>
      <c r="O25" s="21">
        <f t="shared" si="6"/>
        <v>8.1145833333333321</v>
      </c>
      <c r="P25" s="46">
        <f t="shared" si="1"/>
        <v>17.399999999999999</v>
      </c>
      <c r="Q25" s="21">
        <f t="shared" si="2"/>
        <v>8.3333333333333315E-2</v>
      </c>
      <c r="R25" s="21">
        <f t="shared" si="9"/>
        <v>1.5972222222222225</v>
      </c>
      <c r="S25" s="29"/>
      <c r="T25" s="29"/>
      <c r="U25" s="18">
        <f t="shared" si="10"/>
        <v>0</v>
      </c>
      <c r="V25" s="29"/>
      <c r="W25" s="18">
        <f t="shared" si="7"/>
        <v>0</v>
      </c>
      <c r="X25" s="11">
        <f t="shared" si="3"/>
        <v>0</v>
      </c>
      <c r="Y25" s="18">
        <f t="shared" si="11"/>
        <v>0</v>
      </c>
      <c r="Z25" s="18">
        <f t="shared" si="4"/>
        <v>0</v>
      </c>
      <c r="AA25" s="29"/>
      <c r="AB25" s="29"/>
      <c r="AC25" s="30"/>
      <c r="AD25" s="29"/>
      <c r="AE25" s="30"/>
      <c r="AF25" s="30"/>
      <c r="AG25" s="30"/>
      <c r="AH25" s="19">
        <f t="shared" si="12"/>
        <v>0</v>
      </c>
    </row>
    <row r="26" spans="1:34" ht="13">
      <c r="A26" s="47" t="s">
        <v>48</v>
      </c>
      <c r="B26" s="32">
        <v>37896</v>
      </c>
      <c r="C26" s="5"/>
      <c r="D26" s="6" t="s">
        <v>96</v>
      </c>
      <c r="E26" s="49"/>
      <c r="F26" s="35"/>
      <c r="G26" s="17">
        <f t="shared" si="8"/>
        <v>3085</v>
      </c>
      <c r="H26" s="11">
        <f>ROUND(PRODUCT(G26/23),0)</f>
        <v>134</v>
      </c>
      <c r="I26" s="11">
        <f>ROUND(PRODUCT(G26/COUNT(F4:F26)),0)</f>
        <v>154</v>
      </c>
      <c r="J26" s="42"/>
      <c r="K26" s="21">
        <f t="shared" si="5"/>
        <v>6.5173611111111107</v>
      </c>
      <c r="L26" s="46">
        <f t="shared" si="0"/>
        <v>0</v>
      </c>
      <c r="M26" s="38"/>
      <c r="N26" s="42"/>
      <c r="O26" s="21">
        <f t="shared" si="6"/>
        <v>8.1145833333333321</v>
      </c>
      <c r="P26" s="46">
        <f t="shared" si="1"/>
        <v>0</v>
      </c>
      <c r="Q26" s="21">
        <f t="shared" si="2"/>
        <v>0</v>
      </c>
      <c r="R26" s="21">
        <f t="shared" si="9"/>
        <v>1.5972222222222225</v>
      </c>
      <c r="S26" s="29"/>
      <c r="T26" s="29"/>
      <c r="U26" s="18">
        <f t="shared" si="10"/>
        <v>0</v>
      </c>
      <c r="V26" s="29"/>
      <c r="W26" s="18">
        <f t="shared" si="7"/>
        <v>0</v>
      </c>
      <c r="X26" s="11">
        <f t="shared" si="3"/>
        <v>0</v>
      </c>
      <c r="Y26" s="18">
        <f t="shared" si="11"/>
        <v>0</v>
      </c>
      <c r="Z26" s="18">
        <f t="shared" si="4"/>
        <v>0</v>
      </c>
      <c r="AA26" s="29"/>
      <c r="AB26" s="29"/>
      <c r="AC26" s="30"/>
      <c r="AD26" s="29"/>
      <c r="AE26" s="30"/>
      <c r="AF26" s="30"/>
      <c r="AG26" s="30"/>
      <c r="AH26" s="19">
        <f t="shared" si="12"/>
        <v>0</v>
      </c>
    </row>
    <row r="27" spans="1:34" ht="13">
      <c r="A27" s="47" t="s">
        <v>49</v>
      </c>
      <c r="B27" s="32">
        <v>37897</v>
      </c>
      <c r="C27" s="5" t="s">
        <v>96</v>
      </c>
      <c r="D27" s="6" t="s">
        <v>97</v>
      </c>
      <c r="E27" s="49" t="s">
        <v>96</v>
      </c>
      <c r="F27" s="35">
        <v>69</v>
      </c>
      <c r="G27" s="17">
        <f t="shared" si="8"/>
        <v>3154</v>
      </c>
      <c r="H27" s="11">
        <f>ROUND(PRODUCT(G27/24),0)</f>
        <v>131</v>
      </c>
      <c r="I27" s="11">
        <f>ROUND(PRODUCT(G27/COUNT(F4:F27)),0)</f>
        <v>150</v>
      </c>
      <c r="J27" s="42">
        <v>0.125</v>
      </c>
      <c r="K27" s="21">
        <f t="shared" si="5"/>
        <v>6.6423611111111107</v>
      </c>
      <c r="L27" s="46">
        <f t="shared" si="0"/>
        <v>23</v>
      </c>
      <c r="M27" s="38"/>
      <c r="N27" s="42">
        <v>0.29166666666666669</v>
      </c>
      <c r="O27" s="21">
        <f t="shared" si="6"/>
        <v>8.4062499999999982</v>
      </c>
      <c r="P27" s="46">
        <f t="shared" si="1"/>
        <v>9.9</v>
      </c>
      <c r="Q27" s="21">
        <f t="shared" si="2"/>
        <v>0.16666666666666669</v>
      </c>
      <c r="R27" s="21">
        <f t="shared" si="9"/>
        <v>1.7638888888888893</v>
      </c>
      <c r="S27" s="29"/>
      <c r="T27" s="29"/>
      <c r="U27" s="18">
        <f t="shared" si="10"/>
        <v>0</v>
      </c>
      <c r="V27" s="29"/>
      <c r="W27" s="18">
        <f t="shared" si="7"/>
        <v>0</v>
      </c>
      <c r="X27" s="11">
        <f t="shared" si="3"/>
        <v>0</v>
      </c>
      <c r="Y27" s="18">
        <f t="shared" si="11"/>
        <v>0</v>
      </c>
      <c r="Z27" s="18">
        <f t="shared" si="4"/>
        <v>0</v>
      </c>
      <c r="AA27" s="29"/>
      <c r="AB27" s="29"/>
      <c r="AC27" s="30"/>
      <c r="AD27" s="29"/>
      <c r="AE27" s="30"/>
      <c r="AF27" s="30"/>
      <c r="AG27" s="30"/>
      <c r="AH27" s="19">
        <f t="shared" si="12"/>
        <v>0</v>
      </c>
    </row>
    <row r="28" spans="1:34" ht="13">
      <c r="A28" s="31" t="s">
        <v>6</v>
      </c>
      <c r="B28" s="58"/>
      <c r="C28" s="59"/>
      <c r="D28" s="59"/>
      <c r="E28" s="60"/>
      <c r="F28" s="33">
        <f>SUM(F4:F27)</f>
        <v>3154</v>
      </c>
      <c r="G28" s="22">
        <f>SUM(G27)</f>
        <v>3154</v>
      </c>
      <c r="H28" s="22">
        <f>SUM(H27)</f>
        <v>131</v>
      </c>
      <c r="I28" s="22">
        <f>SUM(I27)</f>
        <v>150</v>
      </c>
      <c r="J28" s="23">
        <f>SUM(J4:J27)</f>
        <v>6.6423611111111107</v>
      </c>
      <c r="K28" s="40">
        <f>F28/SUM(HOUR(J28)+(ROUNDDOWN(J28,0)*24),PRODUCT(MINUTE(J28)/60))</f>
        <v>19.784631468897022</v>
      </c>
      <c r="L28" s="45">
        <f>SUM(L4:L27)/COUNT(F4:F27)</f>
        <v>20.171428571428571</v>
      </c>
      <c r="M28" s="50" t="e">
        <f>PRODUCT(SUM(M4:M27),1/COUNT(M4:M27))</f>
        <v>#DIV/0!</v>
      </c>
      <c r="N28" s="23">
        <f>SUM(N4:N27)</f>
        <v>8.4062499999999982</v>
      </c>
      <c r="O28" s="40">
        <f>F28/SUM(HOUR(N28)+(ROUNDDOWN(N28,0)*24),PRODUCT(MINUTE(N28)/60))</f>
        <v>15.633209417596035</v>
      </c>
      <c r="P28" s="45">
        <f>SUM(P4:P27)/COUNT(F4:F27)</f>
        <v>15.895238095238094</v>
      </c>
      <c r="Q28" s="23">
        <f>SUM(Q4:Q27)</f>
        <v>1.7638888888888893</v>
      </c>
      <c r="R28" s="22"/>
      <c r="S28" s="22" t="e">
        <f>ROUND(SUM(S4:S27)/COUNT(S4:S27),0)</f>
        <v>#DIV/0!</v>
      </c>
      <c r="T28" s="22" t="e">
        <f>ROUND(SUM(T4:T27)/COUNT(T4:T27),0)</f>
        <v>#DIV/0!</v>
      </c>
      <c r="U28" s="24">
        <f>SUM(U4:U27)</f>
        <v>0</v>
      </c>
      <c r="V28" s="22" t="e">
        <f>ROUND(SUM(V4:V27)/COUNT(V4:V27),0)</f>
        <v>#DIV/0!</v>
      </c>
      <c r="W28" s="22">
        <f>SUM(W27)</f>
        <v>0</v>
      </c>
      <c r="X28" s="22" t="e">
        <f>ROUND(SUM(X4:X27)/COUNT(V4:V27),0)</f>
        <v>#DIV/0!</v>
      </c>
      <c r="Y28" s="22">
        <f>SUM(Y27)</f>
        <v>0</v>
      </c>
      <c r="Z28" s="24">
        <f>SUM(Z4:Z27)</f>
        <v>0</v>
      </c>
      <c r="AA28" s="22" t="e">
        <f>ROUND(SUM(AA4:AA27)/COUNT(AA4:AA27),0)</f>
        <v>#DIV/0!</v>
      </c>
      <c r="AB28" s="39" t="e">
        <f t="shared" ref="AB28:AG28" si="13">SUM(AB4:AB27)/COUNT(AB4:AB27)</f>
        <v>#DIV/0!</v>
      </c>
      <c r="AC28" s="39" t="e">
        <f t="shared" si="13"/>
        <v>#DIV/0!</v>
      </c>
      <c r="AD28" s="39" t="e">
        <f t="shared" si="13"/>
        <v>#DIV/0!</v>
      </c>
      <c r="AE28" s="39" t="e">
        <f t="shared" si="13"/>
        <v>#DIV/0!</v>
      </c>
      <c r="AF28" s="39" t="e">
        <f t="shared" si="13"/>
        <v>#DIV/0!</v>
      </c>
      <c r="AG28" s="39" t="e">
        <f t="shared" si="13"/>
        <v>#DIV/0!</v>
      </c>
      <c r="AH28" s="39" t="e">
        <f>SUM(AH4:AH27)/COUNT(AG4:AG27)</f>
        <v>#DIV/0!</v>
      </c>
    </row>
    <row r="29" spans="1:34" ht="13">
      <c r="Q29" s="11"/>
      <c r="R29" s="11"/>
      <c r="S29" s="11"/>
      <c r="W29" s="18"/>
      <c r="Y29" s="18"/>
    </row>
    <row r="30" spans="1:34" ht="13">
      <c r="O30" s="11"/>
      <c r="P30" s="11"/>
      <c r="Q30" s="11"/>
      <c r="R30" s="34"/>
      <c r="S30" s="11"/>
      <c r="T30" s="11"/>
      <c r="U30" s="11"/>
      <c r="V30" s="11"/>
      <c r="W30" s="18"/>
      <c r="X30" s="11"/>
      <c r="Y30" s="18"/>
      <c r="Z30" s="11"/>
      <c r="AA30" s="11"/>
    </row>
    <row r="31" spans="1:34" ht="13">
      <c r="N31" s="44"/>
      <c r="O31" s="11"/>
      <c r="P31" s="11"/>
      <c r="Q31" s="43"/>
      <c r="R31" s="43"/>
      <c r="S31" s="11"/>
      <c r="T31" s="11"/>
      <c r="U31" s="11"/>
      <c r="V31" s="11"/>
      <c r="W31" s="11"/>
      <c r="X31" s="11"/>
      <c r="Y31" s="11"/>
      <c r="Z31" s="11"/>
      <c r="AA31" s="11"/>
    </row>
    <row r="32" spans="1:34" ht="13">
      <c r="O32" s="11"/>
      <c r="P32" s="11"/>
      <c r="Q32" s="43"/>
      <c r="R32" s="43"/>
      <c r="S32" s="11"/>
      <c r="T32" s="11"/>
      <c r="U32" s="11"/>
      <c r="V32" s="11"/>
      <c r="W32" s="11"/>
      <c r="X32" s="11"/>
      <c r="Y32" s="11"/>
      <c r="Z32" s="11"/>
      <c r="AA32" s="11"/>
    </row>
    <row r="33" spans="15:27" ht="13">
      <c r="O33" s="11"/>
      <c r="P33" s="11"/>
      <c r="Q33" s="11"/>
      <c r="R33" s="43"/>
      <c r="S33" s="11"/>
      <c r="T33" s="11"/>
      <c r="U33" s="11"/>
      <c r="V33" s="11"/>
      <c r="W33" s="11"/>
      <c r="X33" s="11"/>
      <c r="Y33" s="11"/>
      <c r="Z33" s="11"/>
      <c r="AA33" s="11"/>
    </row>
    <row r="34" spans="15:27"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</sheetData>
  <mergeCells count="4">
    <mergeCell ref="A1:F1"/>
    <mergeCell ref="A2:F2"/>
    <mergeCell ref="G1:AH1"/>
    <mergeCell ref="B28:E28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742A7-C437-486D-8F48-67590D2DF9E0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DAEEC-5BB6-4FD7-A6CB-4B3372BDAAC7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2025-11-12T20:03:03Z</dcterms:modified>
</cp:coreProperties>
</file>