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C:\Users\chris\Documents\V - My Sports\Bike\0000 Radstrecken\tour 001-120\"/>
    </mc:Choice>
  </mc:AlternateContent>
  <xr:revisionPtr revIDLastSave="0" documentId="8_{17E97BDD-BDE1-45CA-997A-4518F00B0200}" xr6:coauthVersionLast="47" xr6:coauthVersionMax="47" xr10:uidLastSave="{00000000-0000-0000-0000-000000000000}"/>
  <bookViews>
    <workbookView xWindow="-110" yWindow="-110" windowWidth="19420" windowHeight="10420" xr2:uid="{B684CB31-9D76-4A10-97A4-5A17F8674B58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H4" i="1" s="1"/>
  <c r="I4" i="1"/>
  <c r="K4" i="1"/>
  <c r="L4" i="1"/>
  <c r="O4" i="1"/>
  <c r="O5" i="1" s="1"/>
  <c r="O6" i="1" s="1"/>
  <c r="O7" i="1" s="1"/>
  <c r="O8" i="1" s="1"/>
  <c r="O9" i="1" s="1"/>
  <c r="O10" i="1" s="1"/>
  <c r="O11" i="1" s="1"/>
  <c r="O12" i="1" s="1"/>
  <c r="O13" i="1" s="1"/>
  <c r="O14" i="1" s="1"/>
  <c r="O15" i="1" s="1"/>
  <c r="O16" i="1" s="1"/>
  <c r="P4" i="1"/>
  <c r="P17" i="1" s="1"/>
  <c r="Q4" i="1"/>
  <c r="R4" i="1" s="1"/>
  <c r="U4" i="1"/>
  <c r="W4" i="1"/>
  <c r="W5" i="1" s="1"/>
  <c r="W6" i="1" s="1"/>
  <c r="W7" i="1" s="1"/>
  <c r="W8" i="1" s="1"/>
  <c r="W9" i="1" s="1"/>
  <c r="W10" i="1" s="1"/>
  <c r="W11" i="1" s="1"/>
  <c r="W12" i="1" s="1"/>
  <c r="W13" i="1" s="1"/>
  <c r="W14" i="1" s="1"/>
  <c r="W15" i="1" s="1"/>
  <c r="W16" i="1" s="1"/>
  <c r="W17" i="1" s="1"/>
  <c r="X4" i="1"/>
  <c r="Y4" i="1"/>
  <c r="Z4" i="1"/>
  <c r="AH4" i="1"/>
  <c r="G5" i="1"/>
  <c r="H5" i="1" s="1"/>
  <c r="I5" i="1"/>
  <c r="K5" i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L5" i="1"/>
  <c r="P5" i="1"/>
  <c r="Q5" i="1"/>
  <c r="U5" i="1"/>
  <c r="X5" i="1"/>
  <c r="Y5" i="1" s="1"/>
  <c r="Y6" i="1" s="1"/>
  <c r="Y7" i="1" s="1"/>
  <c r="Y8" i="1" s="1"/>
  <c r="Y9" i="1" s="1"/>
  <c r="Y10" i="1" s="1"/>
  <c r="Y11" i="1" s="1"/>
  <c r="Y12" i="1" s="1"/>
  <c r="Y13" i="1" s="1"/>
  <c r="Y14" i="1" s="1"/>
  <c r="Y15" i="1" s="1"/>
  <c r="Y16" i="1" s="1"/>
  <c r="Y17" i="1" s="1"/>
  <c r="AH5" i="1"/>
  <c r="G6" i="1"/>
  <c r="I6" i="1" s="1"/>
  <c r="L6" i="1"/>
  <c r="L17" i="1" s="1"/>
  <c r="P6" i="1"/>
  <c r="Q6" i="1"/>
  <c r="U6" i="1"/>
  <c r="X6" i="1"/>
  <c r="Z6" i="1" s="1"/>
  <c r="AH6" i="1"/>
  <c r="L7" i="1"/>
  <c r="P7" i="1"/>
  <c r="Q7" i="1"/>
  <c r="U7" i="1"/>
  <c r="U17" i="1" s="1"/>
  <c r="X7" i="1"/>
  <c r="Z7" i="1"/>
  <c r="AH7" i="1"/>
  <c r="L8" i="1"/>
  <c r="P8" i="1"/>
  <c r="Q8" i="1"/>
  <c r="U8" i="1"/>
  <c r="X8" i="1"/>
  <c r="Z8" i="1"/>
  <c r="AH8" i="1"/>
  <c r="L9" i="1"/>
  <c r="P9" i="1"/>
  <c r="Q9" i="1"/>
  <c r="U9" i="1"/>
  <c r="X9" i="1"/>
  <c r="Z9" i="1" s="1"/>
  <c r="AH9" i="1"/>
  <c r="L10" i="1"/>
  <c r="P10" i="1"/>
  <c r="Q10" i="1"/>
  <c r="U10" i="1"/>
  <c r="X10" i="1"/>
  <c r="Z10" i="1" s="1"/>
  <c r="AH10" i="1"/>
  <c r="L11" i="1"/>
  <c r="P11" i="1"/>
  <c r="Q11" i="1"/>
  <c r="U11" i="1"/>
  <c r="X11" i="1"/>
  <c r="Z11" i="1"/>
  <c r="AH11" i="1"/>
  <c r="L12" i="1"/>
  <c r="P12" i="1"/>
  <c r="Q12" i="1"/>
  <c r="U12" i="1"/>
  <c r="X12" i="1"/>
  <c r="Z12" i="1"/>
  <c r="AH12" i="1"/>
  <c r="L13" i="1"/>
  <c r="P13" i="1"/>
  <c r="Q13" i="1"/>
  <c r="U13" i="1"/>
  <c r="X13" i="1"/>
  <c r="Z13" i="1" s="1"/>
  <c r="AH13" i="1"/>
  <c r="L14" i="1"/>
  <c r="P14" i="1"/>
  <c r="Q14" i="1"/>
  <c r="U14" i="1"/>
  <c r="X14" i="1"/>
  <c r="Z14" i="1" s="1"/>
  <c r="AH14" i="1"/>
  <c r="L15" i="1"/>
  <c r="P15" i="1"/>
  <c r="Q15" i="1"/>
  <c r="U15" i="1"/>
  <c r="X15" i="1"/>
  <c r="Z15" i="1"/>
  <c r="AH15" i="1"/>
  <c r="L16" i="1"/>
  <c r="P16" i="1"/>
  <c r="Q16" i="1"/>
  <c r="U16" i="1"/>
  <c r="X16" i="1"/>
  <c r="Z16" i="1"/>
  <c r="AH16" i="1"/>
  <c r="F17" i="1"/>
  <c r="J17" i="1"/>
  <c r="K17" i="1"/>
  <c r="M17" i="1"/>
  <c r="N17" i="1"/>
  <c r="O17" i="1" s="1"/>
  <c r="Q17" i="1"/>
  <c r="S17" i="1"/>
  <c r="T17" i="1"/>
  <c r="V17" i="1"/>
  <c r="AA17" i="1"/>
  <c r="AB17" i="1"/>
  <c r="AC17" i="1"/>
  <c r="AD17" i="1"/>
  <c r="AE17" i="1"/>
  <c r="AF17" i="1"/>
  <c r="AG17" i="1"/>
  <c r="AH17" i="1"/>
  <c r="R8" i="1" l="1"/>
  <c r="R9" i="1" s="1"/>
  <c r="R10" i="1" s="1"/>
  <c r="R11" i="1" s="1"/>
  <c r="R12" i="1" s="1"/>
  <c r="R13" i="1" s="1"/>
  <c r="R14" i="1" s="1"/>
  <c r="R15" i="1" s="1"/>
  <c r="R16" i="1" s="1"/>
  <c r="R5" i="1"/>
  <c r="R6" i="1" s="1"/>
  <c r="R7" i="1" s="1"/>
  <c r="H6" i="1"/>
  <c r="G7" i="1"/>
  <c r="X17" i="1"/>
  <c r="Z5" i="1"/>
  <c r="Z17" i="1" s="1"/>
  <c r="G8" i="1" l="1"/>
  <c r="I7" i="1"/>
  <c r="H7" i="1"/>
  <c r="I8" i="1" l="1"/>
  <c r="G9" i="1"/>
  <c r="H8" i="1"/>
  <c r="G10" i="1" l="1"/>
  <c r="I9" i="1"/>
  <c r="H9" i="1"/>
  <c r="G11" i="1" l="1"/>
  <c r="H10" i="1"/>
  <c r="I10" i="1"/>
  <c r="G12" i="1" l="1"/>
  <c r="H11" i="1"/>
  <c r="I11" i="1"/>
  <c r="H12" i="1" l="1"/>
  <c r="I12" i="1"/>
  <c r="G13" i="1"/>
  <c r="H13" i="1" l="1"/>
  <c r="I13" i="1"/>
  <c r="G14" i="1"/>
  <c r="I14" i="1" l="1"/>
  <c r="G15" i="1"/>
  <c r="H14" i="1"/>
  <c r="H15" i="1" l="1"/>
  <c r="G16" i="1"/>
  <c r="I15" i="1"/>
  <c r="I16" i="1" l="1"/>
  <c r="I17" i="1" s="1"/>
  <c r="H16" i="1"/>
  <c r="H17" i="1" s="1"/>
  <c r="G17" i="1"/>
</calcChain>
</file>

<file path=xl/sharedStrings.xml><?xml version="1.0" encoding="utf-8"?>
<sst xmlns="http://schemas.openxmlformats.org/spreadsheetml/2006/main" count="80" uniqueCount="71">
  <si>
    <t>Tag</t>
  </si>
  <si>
    <t>Datum</t>
  </si>
  <si>
    <t>Start</t>
  </si>
  <si>
    <t>Zwischenstationen</t>
  </si>
  <si>
    <t>Ziel</t>
  </si>
  <si>
    <t>10.</t>
  </si>
  <si>
    <t>Summe</t>
  </si>
  <si>
    <t>11.</t>
  </si>
  <si>
    <t>Fahrzeit</t>
  </si>
  <si>
    <t>Höhe Beginn</t>
  </si>
  <si>
    <t>Höhe Ende</t>
  </si>
  <si>
    <t>Max. Höhe</t>
  </si>
  <si>
    <t>Hm aufw</t>
  </si>
  <si>
    <t>Hm abw</t>
  </si>
  <si>
    <t>Gesamtzeit</t>
  </si>
  <si>
    <t>Pausenzeit</t>
  </si>
  <si>
    <t>Max.Temp.</t>
  </si>
  <si>
    <t xml:space="preserve">Min.Temp. </t>
  </si>
  <si>
    <t>Ø Steigung</t>
  </si>
  <si>
    <t>max.Steigung</t>
  </si>
  <si>
    <t>Ø Gefälle</t>
  </si>
  <si>
    <t>max.Gefälle</t>
  </si>
  <si>
    <t>km</t>
  </si>
  <si>
    <t>km/Tag</t>
  </si>
  <si>
    <t>km/Fahrtag</t>
  </si>
  <si>
    <t>max. km/h</t>
  </si>
  <si>
    <t>Σ km</t>
  </si>
  <si>
    <t>Σ Hm aufw</t>
  </si>
  <si>
    <t>Δ Temp.</t>
  </si>
  <si>
    <t>Σ Hm abw</t>
  </si>
  <si>
    <t>Δ Hmauf-abw</t>
  </si>
  <si>
    <t>Δ Beg./Ende</t>
  </si>
  <si>
    <t>Σ Fahrzeit</t>
  </si>
  <si>
    <t>Σ Gesamtzeit</t>
  </si>
  <si>
    <t>Σ Pausenzeit</t>
  </si>
  <si>
    <t>12.</t>
  </si>
  <si>
    <t>13.</t>
  </si>
  <si>
    <t>km/h brutto</t>
  </si>
  <si>
    <t>km/h netto</t>
  </si>
  <si>
    <t>01.</t>
  </si>
  <si>
    <t>02.</t>
  </si>
  <si>
    <t>03.</t>
  </si>
  <si>
    <t>04.</t>
  </si>
  <si>
    <t>05.</t>
  </si>
  <si>
    <t>06.</t>
  </si>
  <si>
    <t>07.</t>
  </si>
  <si>
    <t>08.</t>
  </si>
  <si>
    <t>09.</t>
  </si>
  <si>
    <t>Athen - Rhodos - Antalya - Adana (22.2.-6.3.2006)</t>
  </si>
  <si>
    <r>
      <t>Statistik</t>
    </r>
    <r>
      <rPr>
        <b/>
        <sz val="20"/>
        <rFont val="Arial"/>
        <family val="2"/>
      </rPr>
      <t xml:space="preserve"> Athen - Rhodos - Antalya - Adana (22.2.-6.3.2006)</t>
    </r>
  </si>
  <si>
    <t>Athen</t>
  </si>
  <si>
    <t>Piräus</t>
  </si>
  <si>
    <t>Athen-Flughafen</t>
  </si>
  <si>
    <t>Flughafen Rhodos</t>
  </si>
  <si>
    <t>Inseltour (Paradissi - Kamiros - Kastellos Kristina - Monolithos - Apolakkia - Lindos)</t>
  </si>
  <si>
    <t>Rhodos</t>
  </si>
  <si>
    <t>Inseltour (Ferimos/Ialyssos - Archipoli - Embonas - Agios Isidoros)</t>
  </si>
  <si>
    <t>Apolakkia</t>
  </si>
  <si>
    <t>Inseltour (Prasonis - Mesanagros - Lachania - Asklipio)</t>
  </si>
  <si>
    <t>Fähre Rhodos - Marmaris (=Grenze Griechenland/Türkei)</t>
  </si>
  <si>
    <t>Marmaris</t>
  </si>
  <si>
    <t>Dalyan</t>
  </si>
  <si>
    <t>Fethiye</t>
  </si>
  <si>
    <t>Xanthos</t>
  </si>
  <si>
    <t>Demre/Kale/Myra</t>
  </si>
  <si>
    <t>Antalya</t>
  </si>
  <si>
    <t>Adana</t>
  </si>
  <si>
    <t>Tasucu</t>
  </si>
  <si>
    <t>Anamur</t>
  </si>
  <si>
    <t>Side</t>
  </si>
  <si>
    <t>Antalya Flughafen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</si>
</sst>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[h]:mm"/>
    <numFmt numFmtId="180" formatCode="0.0"/>
  </numFmts>
  <fonts count="10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b/>
      <sz val="20"/>
      <name val="Arial"/>
      <family val="2"/>
    </font>
    <font>
      <sz val="10"/>
      <name val="Arial"/>
      <family val="2"/>
    </font>
    <font>
      <b/>
      <sz val="9"/>
      <name val="Times New Roman"/>
      <family val="1"/>
    </font>
    <font>
      <b/>
      <sz val="8"/>
      <name val="Times New Roman"/>
      <family val="1"/>
    </font>
    <font>
      <b/>
      <sz val="9"/>
      <name val="WP CyrillicA"/>
    </font>
    <font>
      <i/>
      <sz val="10"/>
      <name val="Arial"/>
      <family val="2"/>
    </font>
    <font>
      <b/>
      <i/>
      <sz val="2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0" fillId="0" borderId="0" xfId="0" applyBorder="1"/>
    <xf numFmtId="21" fontId="5" fillId="0" borderId="0" xfId="0" applyNumberFormat="1" applyFont="1" applyBorder="1" applyAlignment="1">
      <alignment vertical="top" wrapText="1"/>
    </xf>
    <xf numFmtId="0" fontId="0" fillId="0" borderId="2" xfId="0" applyBorder="1"/>
    <xf numFmtId="0" fontId="0" fillId="0" borderId="3" xfId="0" applyBorder="1"/>
    <xf numFmtId="0" fontId="8" fillId="0" borderId="3" xfId="0" applyFont="1" applyBorder="1"/>
    <xf numFmtId="0" fontId="8" fillId="0" borderId="4" xfId="0" applyFont="1" applyBorder="1"/>
    <xf numFmtId="0" fontId="0" fillId="0" borderId="5" xfId="0" applyBorder="1"/>
    <xf numFmtId="0" fontId="8" fillId="0" borderId="0" xfId="0" applyFont="1" applyBorder="1"/>
    <xf numFmtId="0" fontId="8" fillId="0" borderId="6" xfId="0" applyFont="1" applyBorder="1"/>
    <xf numFmtId="177" fontId="8" fillId="0" borderId="3" xfId="0" applyNumberFormat="1" applyFont="1" applyBorder="1"/>
    <xf numFmtId="177" fontId="8" fillId="0" borderId="0" xfId="0" applyNumberFormat="1" applyFont="1" applyBorder="1"/>
    <xf numFmtId="0" fontId="1" fillId="0" borderId="1" xfId="0" applyFont="1" applyBorder="1"/>
    <xf numFmtId="177" fontId="1" fillId="0" borderId="1" xfId="0" applyNumberFormat="1" applyFont="1" applyBorder="1"/>
    <xf numFmtId="0" fontId="1" fillId="0" borderId="1" xfId="0" applyFont="1" applyFill="1" applyBorder="1"/>
    <xf numFmtId="0" fontId="2" fillId="0" borderId="1" xfId="0" applyFont="1" applyBorder="1" applyAlignment="1">
      <alignment textRotation="90"/>
    </xf>
    <xf numFmtId="0" fontId="2" fillId="0" borderId="1" xfId="0" applyFont="1" applyFill="1" applyBorder="1" applyAlignment="1">
      <alignment textRotation="90"/>
    </xf>
    <xf numFmtId="0" fontId="2" fillId="0" borderId="1" xfId="0" applyFont="1" applyBorder="1" applyAlignment="1">
      <alignment textRotation="90" wrapText="1"/>
    </xf>
    <xf numFmtId="0" fontId="2" fillId="0" borderId="1" xfId="0" applyFont="1" applyFill="1" applyBorder="1" applyAlignment="1">
      <alignment textRotation="90" wrapText="1"/>
    </xf>
    <xf numFmtId="0" fontId="0" fillId="0" borderId="0" xfId="0" applyFill="1" applyBorder="1"/>
    <xf numFmtId="0" fontId="8" fillId="0" borderId="0" xfId="0" applyFont="1" applyFill="1" applyBorder="1"/>
    <xf numFmtId="0" fontId="2" fillId="0" borderId="1" xfId="0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/>
    <xf numFmtId="180" fontId="0" fillId="0" borderId="3" xfId="0" applyNumberFormat="1" applyBorder="1"/>
    <xf numFmtId="180" fontId="0" fillId="0" borderId="0" xfId="0" applyNumberFormat="1" applyBorder="1"/>
    <xf numFmtId="180" fontId="0" fillId="0" borderId="0" xfId="0" applyNumberFormat="1" applyFill="1" applyBorder="1"/>
    <xf numFmtId="1" fontId="1" fillId="0" borderId="1" xfId="0" applyNumberFormat="1" applyFont="1" applyFill="1" applyBorder="1"/>
    <xf numFmtId="180" fontId="1" fillId="0" borderId="1" xfId="0" applyNumberFormat="1" applyFont="1" applyBorder="1"/>
    <xf numFmtId="177" fontId="0" fillId="0" borderId="3" xfId="0" applyNumberFormat="1" applyBorder="1"/>
    <xf numFmtId="177" fontId="0" fillId="0" borderId="0" xfId="0" applyNumberFormat="1" applyBorder="1"/>
    <xf numFmtId="180" fontId="1" fillId="0" borderId="0" xfId="0" applyNumberFormat="1" applyFont="1" applyBorder="1"/>
    <xf numFmtId="1" fontId="0" fillId="0" borderId="0" xfId="0" applyNumberFormat="1"/>
    <xf numFmtId="180" fontId="4" fillId="0" borderId="1" xfId="0" applyNumberFormat="1" applyFont="1" applyFill="1" applyBorder="1"/>
    <xf numFmtId="0" fontId="0" fillId="0" borderId="1" xfId="0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180" fontId="8" fillId="0" borderId="0" xfId="0" applyNumberFormat="1" applyFont="1" applyBorder="1"/>
    <xf numFmtId="180" fontId="1" fillId="0" borderId="1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8" xfId="0" applyBorder="1" applyAlignment="1"/>
    <xf numFmtId="0" fontId="9" fillId="0" borderId="7" xfId="0" applyFont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14" fontId="4" fillId="0" borderId="7" xfId="0" applyNumberFormat="1" applyFont="1" applyBorder="1" applyAlignment="1">
      <alignment horizontal="center" vertical="top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BC056-BA2C-4A80-AEDC-49A08B0953D9}">
  <sheetPr codeName="Tabelle1"/>
  <dimension ref="A1:AH23"/>
  <sheetViews>
    <sheetView tabSelected="1" zoomScaleNormal="100" workbookViewId="0">
      <selection sqref="A1:F1"/>
    </sheetView>
  </sheetViews>
  <sheetFormatPr baseColWidth="10" defaultRowHeight="12.5"/>
  <cols>
    <col min="1" max="1" width="11.26953125" customWidth="1"/>
    <col min="2" max="2" width="15.26953125" customWidth="1"/>
    <col min="3" max="3" width="23.81640625" customWidth="1"/>
    <col min="4" max="4" width="60.26953125" customWidth="1"/>
    <col min="5" max="5" width="24.453125" customWidth="1"/>
    <col min="6" max="7" width="6.453125" customWidth="1"/>
    <col min="8" max="8" width="4.26953125" customWidth="1"/>
    <col min="9" max="9" width="3.7265625" customWidth="1"/>
    <col min="10" max="10" width="6.26953125" customWidth="1"/>
    <col min="11" max="11" width="6.54296875" customWidth="1"/>
    <col min="12" max="12" width="5.54296875" customWidth="1"/>
    <col min="13" max="13" width="5.453125" customWidth="1"/>
    <col min="14" max="14" width="6.54296875" customWidth="1"/>
    <col min="15" max="16" width="6.7265625" customWidth="1"/>
    <col min="17" max="17" width="6.54296875" customWidth="1"/>
    <col min="18" max="18" width="7.1796875" customWidth="1"/>
    <col min="19" max="20" width="6.1796875" customWidth="1"/>
    <col min="21" max="21" width="5.54296875" customWidth="1"/>
    <col min="22" max="22" width="4.81640625" customWidth="1"/>
    <col min="23" max="23" width="6.26953125" customWidth="1"/>
    <col min="24" max="24" width="5.81640625" customWidth="1"/>
    <col min="25" max="25" width="6.1796875" customWidth="1"/>
    <col min="26" max="26" width="5.7265625" customWidth="1"/>
    <col min="27" max="27" width="6.453125" customWidth="1"/>
    <col min="28" max="28" width="2.81640625" customWidth="1"/>
    <col min="29" max="29" width="4" customWidth="1"/>
    <col min="30" max="30" width="3.453125" customWidth="1"/>
    <col min="31" max="31" width="3.26953125" customWidth="1"/>
    <col min="32" max="33" width="3.1796875" customWidth="1"/>
    <col min="34" max="34" width="3.54296875" customWidth="1"/>
  </cols>
  <sheetData>
    <row r="1" spans="1:34" ht="26.25" customHeight="1">
      <c r="A1" s="50" t="s">
        <v>48</v>
      </c>
      <c r="B1" s="51"/>
      <c r="C1" s="51"/>
      <c r="D1" s="51"/>
      <c r="E1" s="51"/>
      <c r="F1" s="52"/>
      <c r="G1" s="54" t="s">
        <v>49</v>
      </c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6"/>
    </row>
    <row r="2" spans="1:34">
      <c r="A2" s="53"/>
      <c r="B2" s="53"/>
      <c r="C2" s="53"/>
      <c r="D2" s="53"/>
      <c r="E2" s="53"/>
      <c r="F2" s="53"/>
      <c r="G2" s="7"/>
      <c r="H2" s="8"/>
      <c r="I2" s="8"/>
      <c r="J2" s="8"/>
      <c r="K2" s="8"/>
      <c r="L2" s="8"/>
      <c r="M2" s="8"/>
      <c r="N2" s="7"/>
      <c r="O2" s="7"/>
      <c r="P2" s="7"/>
      <c r="Q2" s="7"/>
      <c r="R2" s="12"/>
      <c r="S2" s="7"/>
      <c r="T2" s="7"/>
      <c r="U2" s="9"/>
      <c r="V2" s="9"/>
      <c r="W2" s="9"/>
      <c r="X2" s="10"/>
      <c r="Y2" s="9"/>
      <c r="Z2" s="11"/>
      <c r="AA2" s="11"/>
      <c r="AB2" s="11"/>
      <c r="AC2" s="11"/>
      <c r="AD2" s="11"/>
    </row>
    <row r="3" spans="1:34" ht="72.5">
      <c r="A3" s="1" t="s">
        <v>0</v>
      </c>
      <c r="B3" s="1" t="s">
        <v>1</v>
      </c>
      <c r="C3" s="2" t="s">
        <v>2</v>
      </c>
      <c r="D3" s="1" t="s">
        <v>3</v>
      </c>
      <c r="E3" s="3" t="s">
        <v>4</v>
      </c>
      <c r="F3" s="2" t="s">
        <v>22</v>
      </c>
      <c r="G3" s="25" t="s">
        <v>26</v>
      </c>
      <c r="H3" s="25" t="s">
        <v>23</v>
      </c>
      <c r="I3" s="25" t="s">
        <v>24</v>
      </c>
      <c r="J3" s="25" t="s">
        <v>8</v>
      </c>
      <c r="K3" s="26" t="s">
        <v>32</v>
      </c>
      <c r="L3" s="25" t="s">
        <v>38</v>
      </c>
      <c r="M3" s="25" t="s">
        <v>25</v>
      </c>
      <c r="N3" s="25" t="s">
        <v>14</v>
      </c>
      <c r="O3" s="26" t="s">
        <v>33</v>
      </c>
      <c r="P3" s="25" t="s">
        <v>37</v>
      </c>
      <c r="Q3" s="25" t="s">
        <v>15</v>
      </c>
      <c r="R3" s="26" t="s">
        <v>34</v>
      </c>
      <c r="S3" s="25" t="s">
        <v>9</v>
      </c>
      <c r="T3" s="25" t="s">
        <v>10</v>
      </c>
      <c r="U3" s="25" t="s">
        <v>31</v>
      </c>
      <c r="V3" s="25" t="s">
        <v>12</v>
      </c>
      <c r="W3" s="26" t="s">
        <v>27</v>
      </c>
      <c r="X3" s="25" t="s">
        <v>13</v>
      </c>
      <c r="Y3" s="26" t="s">
        <v>29</v>
      </c>
      <c r="Z3" s="26" t="s">
        <v>30</v>
      </c>
      <c r="AA3" s="25" t="s">
        <v>11</v>
      </c>
      <c r="AB3" s="27" t="s">
        <v>18</v>
      </c>
      <c r="AC3" s="27" t="s">
        <v>19</v>
      </c>
      <c r="AD3" s="27" t="s">
        <v>20</v>
      </c>
      <c r="AE3" s="27" t="s">
        <v>21</v>
      </c>
      <c r="AF3" s="28" t="s">
        <v>17</v>
      </c>
      <c r="AG3" s="28" t="s">
        <v>16</v>
      </c>
      <c r="AH3" s="28" t="s">
        <v>28</v>
      </c>
    </row>
    <row r="4" spans="1:34" ht="13">
      <c r="A4" s="45" t="s">
        <v>39</v>
      </c>
      <c r="B4" s="32">
        <v>38770</v>
      </c>
      <c r="C4" s="5" t="s">
        <v>50</v>
      </c>
      <c r="D4" s="6" t="s">
        <v>51</v>
      </c>
      <c r="E4" s="4" t="s">
        <v>52</v>
      </c>
      <c r="F4" s="5">
        <v>82</v>
      </c>
      <c r="G4" s="13">
        <f>SUM(F4)</f>
        <v>82</v>
      </c>
      <c r="H4" s="14">
        <f>ROUND(PRODUCT(G4/1),0)</f>
        <v>82</v>
      </c>
      <c r="I4" s="14">
        <f>ROUND(PRODUCT(G4/COUNT(F4:F4)),0)</f>
        <v>82</v>
      </c>
      <c r="J4" s="40">
        <v>0.25</v>
      </c>
      <c r="K4" s="20">
        <f>SUM(J4)</f>
        <v>0.25</v>
      </c>
      <c r="L4" s="48">
        <f t="shared" ref="L4:L16" si="0">IF(F4=0,0,ROUND(PRODUCT(F4/SUM(HOUR(J4),PRODUCT(MINUTE(J4)/60))),1))</f>
        <v>13.7</v>
      </c>
      <c r="M4" s="35">
        <v>50.3</v>
      </c>
      <c r="N4" s="40">
        <v>0.41666666666666669</v>
      </c>
      <c r="O4" s="20">
        <f>SUM(N4)</f>
        <v>0.41666666666666669</v>
      </c>
      <c r="P4" s="48">
        <f t="shared" ref="P4:P16" si="1">IF(F4=0,0,ROUND(PRODUCT(F4/SUM(HOUR(N4),PRODUCT(MINUTE(N4)/60))),1))</f>
        <v>8.1999999999999993</v>
      </c>
      <c r="Q4" s="20">
        <f t="shared" ref="Q4:Q16" si="2">SUM(N4,-J4)</f>
        <v>0.16666666666666669</v>
      </c>
      <c r="R4" s="20">
        <f>SUM(Q4)</f>
        <v>0.16666666666666669</v>
      </c>
      <c r="S4" s="14"/>
      <c r="T4" s="11"/>
      <c r="U4" s="15">
        <f>SUM(-S4,T4)</f>
        <v>0</v>
      </c>
      <c r="V4" s="14"/>
      <c r="W4" s="15">
        <f>SUM(V4)</f>
        <v>0</v>
      </c>
      <c r="X4" s="14">
        <f t="shared" ref="X4:X16" si="3">SUM(S4,-T4,V4)</f>
        <v>0</v>
      </c>
      <c r="Y4" s="15">
        <f>SUM(X4)</f>
        <v>0</v>
      </c>
      <c r="Z4" s="15">
        <f t="shared" ref="Z4:Z16" si="4">SUM(V4,-X4)</f>
        <v>0</v>
      </c>
      <c r="AA4" s="14"/>
      <c r="AB4" s="14"/>
      <c r="AC4" s="14"/>
      <c r="AD4" s="14"/>
      <c r="AE4" s="14"/>
      <c r="AF4" s="14"/>
      <c r="AG4" s="14"/>
      <c r="AH4" s="16">
        <f>SUM(AG4,-AF4)</f>
        <v>0</v>
      </c>
    </row>
    <row r="5" spans="1:34" ht="25.5">
      <c r="A5" s="45" t="s">
        <v>40</v>
      </c>
      <c r="B5" s="46">
        <v>38771</v>
      </c>
      <c r="C5" s="47" t="s">
        <v>53</v>
      </c>
      <c r="D5" s="6" t="s">
        <v>54</v>
      </c>
      <c r="E5" s="4" t="s">
        <v>55</v>
      </c>
      <c r="F5" s="5">
        <v>164</v>
      </c>
      <c r="G5" s="17">
        <f>SUM(G4,F5)</f>
        <v>246</v>
      </c>
      <c r="H5" s="11">
        <f>ROUND(PRODUCT(G5/2),0)</f>
        <v>123</v>
      </c>
      <c r="I5" s="11">
        <f>ROUND(PRODUCT(G5/COUNT(F4:F5)),0)</f>
        <v>123</v>
      </c>
      <c r="J5" s="41">
        <v>0.44444444444444442</v>
      </c>
      <c r="K5" s="21">
        <f t="shared" ref="K5:K16" si="5">SUM(J5,K4)</f>
        <v>0.69444444444444442</v>
      </c>
      <c r="L5" s="48">
        <f t="shared" si="0"/>
        <v>15.4</v>
      </c>
      <c r="M5" s="36">
        <v>53.9</v>
      </c>
      <c r="N5" s="41">
        <v>0.58333333333333337</v>
      </c>
      <c r="O5" s="21">
        <f t="shared" ref="O5:O16" si="6">SUM(N5,O4)</f>
        <v>1</v>
      </c>
      <c r="P5" s="48">
        <f t="shared" si="1"/>
        <v>11.7</v>
      </c>
      <c r="Q5" s="21">
        <f t="shared" si="2"/>
        <v>0.13888888888888895</v>
      </c>
      <c r="R5" s="21">
        <f>SUM(Q5,R4)</f>
        <v>0.30555555555555564</v>
      </c>
      <c r="S5" s="11"/>
      <c r="T5" s="11"/>
      <c r="U5" s="18">
        <f>SUM(-S5,T5)</f>
        <v>0</v>
      </c>
      <c r="V5" s="29"/>
      <c r="W5" s="18">
        <f t="shared" ref="W5:W16" si="7">SUM(W4,V5)</f>
        <v>0</v>
      </c>
      <c r="X5" s="11">
        <f t="shared" si="3"/>
        <v>0</v>
      </c>
      <c r="Y5" s="18">
        <f>SUM(Y4,X5)</f>
        <v>0</v>
      </c>
      <c r="Z5" s="18">
        <f t="shared" si="4"/>
        <v>0</v>
      </c>
      <c r="AA5" s="11"/>
      <c r="AB5" s="11"/>
      <c r="AC5" s="30"/>
      <c r="AD5" s="29"/>
      <c r="AE5" s="30"/>
      <c r="AF5" s="30"/>
      <c r="AG5" s="30"/>
      <c r="AH5" s="19">
        <f>SUM(AG5,-AF5)</f>
        <v>0</v>
      </c>
    </row>
    <row r="6" spans="1:34" ht="13">
      <c r="A6" s="45" t="s">
        <v>41</v>
      </c>
      <c r="B6" s="32">
        <v>38772</v>
      </c>
      <c r="C6" s="5"/>
      <c r="D6" s="6" t="s">
        <v>55</v>
      </c>
      <c r="E6" s="4"/>
      <c r="F6" s="5"/>
      <c r="G6" s="17">
        <f t="shared" ref="G6:G16" si="8">SUM(G5,F6)</f>
        <v>246</v>
      </c>
      <c r="H6" s="11">
        <f>ROUND(PRODUCT(G6/3),0)</f>
        <v>82</v>
      </c>
      <c r="I6" s="11">
        <f>ROUND(PRODUCT(G6/COUNT(F4:F6)),0)</f>
        <v>123</v>
      </c>
      <c r="J6" s="41"/>
      <c r="K6" s="21">
        <f t="shared" si="5"/>
        <v>0.69444444444444442</v>
      </c>
      <c r="L6" s="48">
        <f t="shared" si="0"/>
        <v>0</v>
      </c>
      <c r="M6" s="36"/>
      <c r="N6" s="41"/>
      <c r="O6" s="21">
        <f t="shared" si="6"/>
        <v>1</v>
      </c>
      <c r="P6" s="48">
        <f t="shared" si="1"/>
        <v>0</v>
      </c>
      <c r="Q6" s="21">
        <f t="shared" si="2"/>
        <v>0</v>
      </c>
      <c r="R6" s="21">
        <f t="shared" ref="R6:R16" si="9">SUM(Q6,R5)</f>
        <v>0.30555555555555564</v>
      </c>
      <c r="S6" s="11"/>
      <c r="T6" s="29"/>
      <c r="U6" s="18">
        <f t="shared" ref="U6:U16" si="10">SUM(-S6,T6)</f>
        <v>0</v>
      </c>
      <c r="V6" s="29"/>
      <c r="W6" s="18">
        <f t="shared" si="7"/>
        <v>0</v>
      </c>
      <c r="X6" s="11">
        <f t="shared" si="3"/>
        <v>0</v>
      </c>
      <c r="Y6" s="18">
        <f t="shared" ref="Y6:Y16" si="11">SUM(Y5,X6)</f>
        <v>0</v>
      </c>
      <c r="Z6" s="18">
        <f t="shared" si="4"/>
        <v>0</v>
      </c>
      <c r="AA6" s="11"/>
      <c r="AB6" s="11"/>
      <c r="AC6" s="30"/>
      <c r="AD6" s="29"/>
      <c r="AE6" s="30"/>
      <c r="AF6" s="30"/>
      <c r="AG6" s="30"/>
      <c r="AH6" s="19">
        <f t="shared" ref="AH6:AH16" si="12">SUM(AG6,-AF6)</f>
        <v>0</v>
      </c>
    </row>
    <row r="7" spans="1:34" ht="13">
      <c r="A7" s="45" t="s">
        <v>42</v>
      </c>
      <c r="B7" s="32">
        <v>38773</v>
      </c>
      <c r="C7" s="5" t="s">
        <v>55</v>
      </c>
      <c r="D7" s="6" t="s">
        <v>56</v>
      </c>
      <c r="E7" s="4" t="s">
        <v>57</v>
      </c>
      <c r="F7" s="5">
        <v>105</v>
      </c>
      <c r="G7" s="17">
        <f t="shared" si="8"/>
        <v>351</v>
      </c>
      <c r="H7" s="11">
        <f>ROUND(PRODUCT(G7/4),0)</f>
        <v>88</v>
      </c>
      <c r="I7" s="11">
        <f>ROUND(PRODUCT(G7/COUNT(F4:F7)),0)</f>
        <v>117</v>
      </c>
      <c r="J7" s="41">
        <v>0.31736111111111115</v>
      </c>
      <c r="K7" s="21">
        <f t="shared" si="5"/>
        <v>1.0118055555555556</v>
      </c>
      <c r="L7" s="48">
        <f t="shared" si="0"/>
        <v>13.8</v>
      </c>
      <c r="M7" s="37">
        <v>57</v>
      </c>
      <c r="N7" s="41">
        <v>0.45833333333333331</v>
      </c>
      <c r="O7" s="21">
        <f t="shared" si="6"/>
        <v>1.4583333333333333</v>
      </c>
      <c r="P7" s="48">
        <f t="shared" si="1"/>
        <v>9.5</v>
      </c>
      <c r="Q7" s="21">
        <f t="shared" si="2"/>
        <v>0.14097222222222217</v>
      </c>
      <c r="R7" s="21">
        <f t="shared" si="9"/>
        <v>0.4465277777777778</v>
      </c>
      <c r="S7" s="29"/>
      <c r="T7" s="29"/>
      <c r="U7" s="18">
        <f t="shared" si="10"/>
        <v>0</v>
      </c>
      <c r="V7" s="29"/>
      <c r="W7" s="18">
        <f t="shared" si="7"/>
        <v>0</v>
      </c>
      <c r="X7" s="11">
        <f t="shared" si="3"/>
        <v>0</v>
      </c>
      <c r="Y7" s="18">
        <f t="shared" si="11"/>
        <v>0</v>
      </c>
      <c r="Z7" s="18">
        <f t="shared" si="4"/>
        <v>0</v>
      </c>
      <c r="AA7" s="29"/>
      <c r="AB7" s="29"/>
      <c r="AC7" s="30"/>
      <c r="AD7" s="29"/>
      <c r="AE7" s="30"/>
      <c r="AF7" s="30"/>
      <c r="AG7" s="30"/>
      <c r="AH7" s="19">
        <f t="shared" si="12"/>
        <v>0</v>
      </c>
    </row>
    <row r="8" spans="1:34" ht="13">
      <c r="A8" s="45" t="s">
        <v>43</v>
      </c>
      <c r="B8" s="32">
        <v>38774</v>
      </c>
      <c r="C8" s="5" t="s">
        <v>57</v>
      </c>
      <c r="D8" s="6" t="s">
        <v>58</v>
      </c>
      <c r="E8" s="4" t="s">
        <v>55</v>
      </c>
      <c r="F8" s="5">
        <v>141</v>
      </c>
      <c r="G8" s="17">
        <f t="shared" si="8"/>
        <v>492</v>
      </c>
      <c r="H8" s="11">
        <f>ROUND(PRODUCT(G8/5),0)</f>
        <v>98</v>
      </c>
      <c r="I8" s="11">
        <f>ROUND(PRODUCT(G8/COUNT(F4:F8)),0)</f>
        <v>123</v>
      </c>
      <c r="J8" s="41">
        <v>0.3527777777777778</v>
      </c>
      <c r="K8" s="21">
        <f t="shared" si="5"/>
        <v>1.3645833333333335</v>
      </c>
      <c r="L8" s="48">
        <f t="shared" si="0"/>
        <v>16.7</v>
      </c>
      <c r="M8" s="37">
        <v>65.3</v>
      </c>
      <c r="N8" s="41">
        <v>0.45833333333333331</v>
      </c>
      <c r="O8" s="21">
        <f t="shared" si="6"/>
        <v>1.9166666666666665</v>
      </c>
      <c r="P8" s="48">
        <f t="shared" si="1"/>
        <v>12.8</v>
      </c>
      <c r="Q8" s="21">
        <f t="shared" si="2"/>
        <v>0.10555555555555551</v>
      </c>
      <c r="R8" s="21">
        <f t="shared" si="9"/>
        <v>0.55208333333333326</v>
      </c>
      <c r="S8" s="29"/>
      <c r="T8" s="29"/>
      <c r="U8" s="18">
        <f t="shared" si="10"/>
        <v>0</v>
      </c>
      <c r="V8" s="29"/>
      <c r="W8" s="18">
        <f t="shared" si="7"/>
        <v>0</v>
      </c>
      <c r="X8" s="11">
        <f t="shared" si="3"/>
        <v>0</v>
      </c>
      <c r="Y8" s="18">
        <f t="shared" si="11"/>
        <v>0</v>
      </c>
      <c r="Z8" s="18">
        <f t="shared" si="4"/>
        <v>0</v>
      </c>
      <c r="AA8" s="29"/>
      <c r="AB8" s="29"/>
      <c r="AC8" s="30"/>
      <c r="AD8" s="29"/>
      <c r="AE8" s="30"/>
      <c r="AF8" s="30"/>
      <c r="AG8" s="30"/>
      <c r="AH8" s="19">
        <f t="shared" si="12"/>
        <v>0</v>
      </c>
    </row>
    <row r="9" spans="1:34" ht="13">
      <c r="A9" s="45" t="s">
        <v>44</v>
      </c>
      <c r="B9" s="32">
        <v>38775</v>
      </c>
      <c r="C9" s="5"/>
      <c r="D9" s="6" t="s">
        <v>59</v>
      </c>
      <c r="E9" s="4"/>
      <c r="F9" s="5"/>
      <c r="G9" s="17">
        <f t="shared" si="8"/>
        <v>492</v>
      </c>
      <c r="H9" s="11">
        <f>ROUND(PRODUCT(G9/6),0)</f>
        <v>82</v>
      </c>
      <c r="I9" s="11">
        <f>ROUND(PRODUCT(G9/COUNT(F4:F9)),0)</f>
        <v>123</v>
      </c>
      <c r="J9" s="41"/>
      <c r="K9" s="21">
        <f t="shared" si="5"/>
        <v>1.3645833333333335</v>
      </c>
      <c r="L9" s="48">
        <f t="shared" si="0"/>
        <v>0</v>
      </c>
      <c r="M9" s="37"/>
      <c r="N9" s="41"/>
      <c r="O9" s="21">
        <f t="shared" si="6"/>
        <v>1.9166666666666665</v>
      </c>
      <c r="P9" s="48">
        <f t="shared" si="1"/>
        <v>0</v>
      </c>
      <c r="Q9" s="21">
        <f t="shared" si="2"/>
        <v>0</v>
      </c>
      <c r="R9" s="21">
        <f t="shared" si="9"/>
        <v>0.55208333333333326</v>
      </c>
      <c r="S9" s="29"/>
      <c r="T9" s="29"/>
      <c r="U9" s="18">
        <f t="shared" si="10"/>
        <v>0</v>
      </c>
      <c r="V9" s="29"/>
      <c r="W9" s="18">
        <f t="shared" si="7"/>
        <v>0</v>
      </c>
      <c r="X9" s="11">
        <f t="shared" si="3"/>
        <v>0</v>
      </c>
      <c r="Y9" s="18">
        <f t="shared" si="11"/>
        <v>0</v>
      </c>
      <c r="Z9" s="18">
        <f t="shared" si="4"/>
        <v>0</v>
      </c>
      <c r="AA9" s="29"/>
      <c r="AB9" s="29"/>
      <c r="AC9" s="30"/>
      <c r="AD9" s="29"/>
      <c r="AE9" s="30"/>
      <c r="AF9" s="30"/>
      <c r="AG9" s="30"/>
      <c r="AH9" s="19">
        <f t="shared" si="12"/>
        <v>0</v>
      </c>
    </row>
    <row r="10" spans="1:34" ht="13">
      <c r="A10" s="45" t="s">
        <v>45</v>
      </c>
      <c r="B10" s="32">
        <v>38776</v>
      </c>
      <c r="C10" s="5" t="s">
        <v>60</v>
      </c>
      <c r="D10" s="6" t="s">
        <v>61</v>
      </c>
      <c r="E10" s="4" t="s">
        <v>62</v>
      </c>
      <c r="F10" s="5">
        <v>160</v>
      </c>
      <c r="G10" s="17">
        <f t="shared" si="8"/>
        <v>652</v>
      </c>
      <c r="H10" s="11">
        <f>ROUND(PRODUCT(G10/7),0)</f>
        <v>93</v>
      </c>
      <c r="I10" s="11">
        <f>ROUND(PRODUCT(G10/COUNT(F4:F10)),0)</f>
        <v>130</v>
      </c>
      <c r="J10" s="41">
        <v>0.3888888888888889</v>
      </c>
      <c r="K10" s="21">
        <f t="shared" si="5"/>
        <v>1.7534722222222223</v>
      </c>
      <c r="L10" s="48">
        <f t="shared" si="0"/>
        <v>17.100000000000001</v>
      </c>
      <c r="M10" s="36">
        <v>67.599999999999994</v>
      </c>
      <c r="N10" s="41">
        <v>0.45833333333333331</v>
      </c>
      <c r="O10" s="21">
        <f t="shared" si="6"/>
        <v>2.375</v>
      </c>
      <c r="P10" s="48">
        <f t="shared" si="1"/>
        <v>14.5</v>
      </c>
      <c r="Q10" s="21">
        <f t="shared" si="2"/>
        <v>6.944444444444442E-2</v>
      </c>
      <c r="R10" s="21">
        <f t="shared" si="9"/>
        <v>0.62152777777777768</v>
      </c>
      <c r="S10" s="29"/>
      <c r="T10" s="11"/>
      <c r="U10" s="18">
        <f t="shared" si="10"/>
        <v>0</v>
      </c>
      <c r="V10" s="29"/>
      <c r="W10" s="18">
        <f t="shared" si="7"/>
        <v>0</v>
      </c>
      <c r="X10" s="11">
        <f t="shared" si="3"/>
        <v>0</v>
      </c>
      <c r="Y10" s="18">
        <f t="shared" si="11"/>
        <v>0</v>
      </c>
      <c r="Z10" s="18">
        <f t="shared" si="4"/>
        <v>0</v>
      </c>
      <c r="AA10" s="11"/>
      <c r="AB10" s="11"/>
      <c r="AC10" s="30"/>
      <c r="AD10" s="29"/>
      <c r="AE10" s="30"/>
      <c r="AF10" s="30"/>
      <c r="AG10" s="30"/>
      <c r="AH10" s="19">
        <f t="shared" si="12"/>
        <v>0</v>
      </c>
    </row>
    <row r="11" spans="1:34" ht="13">
      <c r="A11" s="6" t="s">
        <v>46</v>
      </c>
      <c r="B11" s="32">
        <v>38777</v>
      </c>
      <c r="C11" s="5" t="s">
        <v>62</v>
      </c>
      <c r="D11" s="6" t="s">
        <v>63</v>
      </c>
      <c r="E11" s="4" t="s">
        <v>64</v>
      </c>
      <c r="F11" s="5">
        <v>156</v>
      </c>
      <c r="G11" s="17">
        <f t="shared" si="8"/>
        <v>808</v>
      </c>
      <c r="H11" s="11">
        <f>ROUND(PRODUCT(G11/8),0)</f>
        <v>101</v>
      </c>
      <c r="I11" s="11">
        <f>ROUND(PRODUCT(G11/COUNT(F4:F11)),0)</f>
        <v>135</v>
      </c>
      <c r="J11" s="41">
        <v>0.37291666666666662</v>
      </c>
      <c r="K11" s="21">
        <f t="shared" si="5"/>
        <v>2.1263888888888891</v>
      </c>
      <c r="L11" s="48">
        <f t="shared" si="0"/>
        <v>17.399999999999999</v>
      </c>
      <c r="M11" s="37">
        <v>60.9</v>
      </c>
      <c r="N11" s="41">
        <v>0.45833333333333331</v>
      </c>
      <c r="O11" s="21">
        <f t="shared" si="6"/>
        <v>2.8333333333333335</v>
      </c>
      <c r="P11" s="48">
        <f t="shared" si="1"/>
        <v>14.2</v>
      </c>
      <c r="Q11" s="21">
        <f t="shared" si="2"/>
        <v>8.5416666666666696E-2</v>
      </c>
      <c r="R11" s="21">
        <f t="shared" si="9"/>
        <v>0.70694444444444438</v>
      </c>
      <c r="S11" s="29"/>
      <c r="T11" s="29"/>
      <c r="U11" s="18">
        <f t="shared" si="10"/>
        <v>0</v>
      </c>
      <c r="V11" s="29"/>
      <c r="W11" s="18">
        <f t="shared" si="7"/>
        <v>0</v>
      </c>
      <c r="X11" s="11">
        <f t="shared" si="3"/>
        <v>0</v>
      </c>
      <c r="Y11" s="18">
        <f t="shared" si="11"/>
        <v>0</v>
      </c>
      <c r="Z11" s="18">
        <f t="shared" si="4"/>
        <v>0</v>
      </c>
      <c r="AA11" s="29"/>
      <c r="AB11" s="29"/>
      <c r="AC11" s="30"/>
      <c r="AD11" s="29"/>
      <c r="AE11" s="30"/>
      <c r="AF11" s="30"/>
      <c r="AG11" s="30"/>
      <c r="AH11" s="19">
        <f t="shared" si="12"/>
        <v>0</v>
      </c>
    </row>
    <row r="12" spans="1:34" ht="13">
      <c r="A12" s="6" t="s">
        <v>47</v>
      </c>
      <c r="B12" s="32">
        <v>38778</v>
      </c>
      <c r="C12" s="5" t="s">
        <v>64</v>
      </c>
      <c r="D12" s="6"/>
      <c r="E12" s="4" t="s">
        <v>65</v>
      </c>
      <c r="F12" s="5">
        <v>153</v>
      </c>
      <c r="G12" s="17">
        <f t="shared" si="8"/>
        <v>961</v>
      </c>
      <c r="H12" s="11">
        <f>ROUND(PRODUCT(G12/9),0)</f>
        <v>107</v>
      </c>
      <c r="I12" s="11">
        <f>ROUND(PRODUCT(G12/COUNT(F4:F12)),0)</f>
        <v>137</v>
      </c>
      <c r="J12" s="41">
        <v>0.35972222222222222</v>
      </c>
      <c r="K12" s="21">
        <f t="shared" si="5"/>
        <v>2.4861111111111112</v>
      </c>
      <c r="L12" s="48">
        <f t="shared" si="0"/>
        <v>17.7</v>
      </c>
      <c r="M12" s="36">
        <v>60.3</v>
      </c>
      <c r="N12" s="41">
        <v>0.44791666666666669</v>
      </c>
      <c r="O12" s="21">
        <f t="shared" si="6"/>
        <v>3.28125</v>
      </c>
      <c r="P12" s="48">
        <f t="shared" si="1"/>
        <v>14.2</v>
      </c>
      <c r="Q12" s="21">
        <f t="shared" si="2"/>
        <v>8.8194444444444464E-2</v>
      </c>
      <c r="R12" s="21">
        <f t="shared" si="9"/>
        <v>0.79513888888888884</v>
      </c>
      <c r="S12" s="11"/>
      <c r="T12" s="11"/>
      <c r="U12" s="18">
        <f t="shared" si="10"/>
        <v>0</v>
      </c>
      <c r="V12" s="29"/>
      <c r="W12" s="18">
        <f t="shared" si="7"/>
        <v>0</v>
      </c>
      <c r="X12" s="11">
        <f t="shared" si="3"/>
        <v>0</v>
      </c>
      <c r="Y12" s="18">
        <f t="shared" si="11"/>
        <v>0</v>
      </c>
      <c r="Z12" s="18">
        <f t="shared" si="4"/>
        <v>0</v>
      </c>
      <c r="AA12" s="11"/>
      <c r="AB12" s="11"/>
      <c r="AC12" s="30"/>
      <c r="AD12" s="29"/>
      <c r="AE12" s="30"/>
      <c r="AF12" s="30"/>
      <c r="AG12" s="30"/>
      <c r="AH12" s="19">
        <f t="shared" si="12"/>
        <v>0</v>
      </c>
    </row>
    <row r="13" spans="1:34" ht="13">
      <c r="A13" s="6" t="s">
        <v>5</v>
      </c>
      <c r="B13" s="32">
        <v>38779</v>
      </c>
      <c r="C13" s="5" t="s">
        <v>66</v>
      </c>
      <c r="D13" s="6"/>
      <c r="E13" s="4" t="s">
        <v>67</v>
      </c>
      <c r="F13" s="5">
        <v>162</v>
      </c>
      <c r="G13" s="17">
        <f t="shared" si="8"/>
        <v>1123</v>
      </c>
      <c r="H13" s="11">
        <f>ROUND(PRODUCT(G13/10),0)</f>
        <v>112</v>
      </c>
      <c r="I13" s="11">
        <f>ROUND(PRODUCT(G13/COUNT(F4:F13)),0)</f>
        <v>140</v>
      </c>
      <c r="J13" s="41">
        <v>0.38055555555555554</v>
      </c>
      <c r="K13" s="21">
        <f t="shared" si="5"/>
        <v>2.8666666666666667</v>
      </c>
      <c r="L13" s="48">
        <f t="shared" si="0"/>
        <v>17.7</v>
      </c>
      <c r="M13" s="37">
        <v>47.4</v>
      </c>
      <c r="N13" s="41">
        <v>0.5</v>
      </c>
      <c r="O13" s="21">
        <f t="shared" si="6"/>
        <v>3.78125</v>
      </c>
      <c r="P13" s="48">
        <f t="shared" si="1"/>
        <v>13.5</v>
      </c>
      <c r="Q13" s="21">
        <f t="shared" si="2"/>
        <v>0.11944444444444446</v>
      </c>
      <c r="R13" s="21">
        <f t="shared" si="9"/>
        <v>0.9145833333333333</v>
      </c>
      <c r="S13" s="29"/>
      <c r="T13" s="29"/>
      <c r="U13" s="18">
        <f t="shared" si="10"/>
        <v>0</v>
      </c>
      <c r="V13" s="29"/>
      <c r="W13" s="18">
        <f t="shared" si="7"/>
        <v>0</v>
      </c>
      <c r="X13" s="11">
        <f t="shared" si="3"/>
        <v>0</v>
      </c>
      <c r="Y13" s="18">
        <f t="shared" si="11"/>
        <v>0</v>
      </c>
      <c r="Z13" s="18">
        <f t="shared" si="4"/>
        <v>0</v>
      </c>
      <c r="AA13" s="29"/>
      <c r="AB13" s="29"/>
      <c r="AC13" s="30"/>
      <c r="AD13" s="29"/>
      <c r="AE13" s="30"/>
      <c r="AF13" s="30"/>
      <c r="AG13" s="30"/>
      <c r="AH13" s="19">
        <f t="shared" si="12"/>
        <v>0</v>
      </c>
    </row>
    <row r="14" spans="1:34" ht="13">
      <c r="A14" s="6" t="s">
        <v>7</v>
      </c>
      <c r="B14" s="32">
        <v>38780</v>
      </c>
      <c r="C14" s="5" t="s">
        <v>67</v>
      </c>
      <c r="D14" s="6"/>
      <c r="E14" s="4" t="s">
        <v>68</v>
      </c>
      <c r="F14" s="5">
        <v>130</v>
      </c>
      <c r="G14" s="17">
        <f t="shared" si="8"/>
        <v>1253</v>
      </c>
      <c r="H14" s="11">
        <f>ROUND(PRODUCT(G14/11),0)</f>
        <v>114</v>
      </c>
      <c r="I14" s="11">
        <f>ROUND(PRODUCT(G14/COUNT(F4:F14)),0)</f>
        <v>139</v>
      </c>
      <c r="J14" s="41">
        <v>0.35625000000000001</v>
      </c>
      <c r="K14" s="21">
        <f t="shared" si="5"/>
        <v>3.2229166666666669</v>
      </c>
      <c r="L14" s="48">
        <f t="shared" si="0"/>
        <v>15.2</v>
      </c>
      <c r="M14" s="37">
        <v>49.8</v>
      </c>
      <c r="N14" s="41">
        <v>0.41666666666666669</v>
      </c>
      <c r="O14" s="21">
        <f t="shared" si="6"/>
        <v>4.197916666666667</v>
      </c>
      <c r="P14" s="48">
        <f t="shared" si="1"/>
        <v>13</v>
      </c>
      <c r="Q14" s="21">
        <f t="shared" si="2"/>
        <v>6.0416666666666674E-2</v>
      </c>
      <c r="R14" s="21">
        <f t="shared" si="9"/>
        <v>0.97499999999999998</v>
      </c>
      <c r="S14" s="29"/>
      <c r="T14" s="29"/>
      <c r="U14" s="18">
        <f t="shared" si="10"/>
        <v>0</v>
      </c>
      <c r="V14" s="29"/>
      <c r="W14" s="18">
        <f t="shared" si="7"/>
        <v>0</v>
      </c>
      <c r="X14" s="11">
        <f t="shared" si="3"/>
        <v>0</v>
      </c>
      <c r="Y14" s="18">
        <f t="shared" si="11"/>
        <v>0</v>
      </c>
      <c r="Z14" s="18">
        <f t="shared" si="4"/>
        <v>0</v>
      </c>
      <c r="AA14" s="29"/>
      <c r="AB14" s="29"/>
      <c r="AC14" s="30"/>
      <c r="AD14" s="29"/>
      <c r="AE14" s="30"/>
      <c r="AF14" s="30"/>
      <c r="AG14" s="30"/>
      <c r="AH14" s="19">
        <f t="shared" si="12"/>
        <v>0</v>
      </c>
    </row>
    <row r="15" spans="1:34" ht="13">
      <c r="A15" s="6" t="s">
        <v>35</v>
      </c>
      <c r="B15" s="32">
        <v>38781</v>
      </c>
      <c r="C15" s="5" t="s">
        <v>68</v>
      </c>
      <c r="D15" s="6"/>
      <c r="E15" s="4" t="s">
        <v>69</v>
      </c>
      <c r="F15" s="5">
        <v>202</v>
      </c>
      <c r="G15" s="17">
        <f t="shared" si="8"/>
        <v>1455</v>
      </c>
      <c r="H15" s="11">
        <f>ROUND(PRODUCT(G15/12),0)</f>
        <v>121</v>
      </c>
      <c r="I15" s="11">
        <f>ROUND(PRODUCT(G15/COUNT(F4:F15)),0)</f>
        <v>146</v>
      </c>
      <c r="J15" s="41">
        <v>0.47916666666666669</v>
      </c>
      <c r="K15" s="21">
        <f t="shared" si="5"/>
        <v>3.7020833333333334</v>
      </c>
      <c r="L15" s="48">
        <f t="shared" si="0"/>
        <v>17.600000000000001</v>
      </c>
      <c r="M15" s="36">
        <v>50.9</v>
      </c>
      <c r="N15" s="41">
        <v>0.625</v>
      </c>
      <c r="O15" s="21">
        <f t="shared" si="6"/>
        <v>4.822916666666667</v>
      </c>
      <c r="P15" s="48">
        <f t="shared" si="1"/>
        <v>13.5</v>
      </c>
      <c r="Q15" s="21">
        <f t="shared" si="2"/>
        <v>0.14583333333333331</v>
      </c>
      <c r="R15" s="21">
        <f t="shared" si="9"/>
        <v>1.1208333333333333</v>
      </c>
      <c r="S15" s="11"/>
      <c r="T15" s="11"/>
      <c r="U15" s="18">
        <f t="shared" si="10"/>
        <v>0</v>
      </c>
      <c r="V15" s="29"/>
      <c r="W15" s="18">
        <f t="shared" si="7"/>
        <v>0</v>
      </c>
      <c r="X15" s="11">
        <f t="shared" si="3"/>
        <v>0</v>
      </c>
      <c r="Y15" s="18">
        <f t="shared" si="11"/>
        <v>0</v>
      </c>
      <c r="Z15" s="18">
        <f t="shared" si="4"/>
        <v>0</v>
      </c>
      <c r="AA15" s="11"/>
      <c r="AB15" s="11"/>
      <c r="AC15" s="30"/>
      <c r="AD15" s="29"/>
      <c r="AE15" s="30"/>
      <c r="AF15" s="30"/>
      <c r="AG15" s="30"/>
      <c r="AH15" s="19">
        <f t="shared" si="12"/>
        <v>0</v>
      </c>
    </row>
    <row r="16" spans="1:34" ht="13">
      <c r="A16" s="6" t="s">
        <v>36</v>
      </c>
      <c r="B16" s="32">
        <v>38782</v>
      </c>
      <c r="C16" s="5" t="s">
        <v>69</v>
      </c>
      <c r="D16" s="6"/>
      <c r="E16" s="4" t="s">
        <v>70</v>
      </c>
      <c r="F16" s="5">
        <v>66</v>
      </c>
      <c r="G16" s="17">
        <f t="shared" si="8"/>
        <v>1521</v>
      </c>
      <c r="H16" s="11">
        <f>ROUND(PRODUCT(G16/13),0)</f>
        <v>117</v>
      </c>
      <c r="I16" s="11">
        <f>ROUND(PRODUCT(G16/COUNT(F4:F16)),0)</f>
        <v>138</v>
      </c>
      <c r="J16" s="41">
        <v>0.13958333333333334</v>
      </c>
      <c r="K16" s="21">
        <f t="shared" si="5"/>
        <v>3.8416666666666668</v>
      </c>
      <c r="L16" s="48">
        <f t="shared" si="0"/>
        <v>19.7</v>
      </c>
      <c r="M16" s="36">
        <v>36.5</v>
      </c>
      <c r="N16" s="41">
        <v>0.16666666666666666</v>
      </c>
      <c r="O16" s="21">
        <f t="shared" si="6"/>
        <v>4.9895833333333339</v>
      </c>
      <c r="P16" s="48">
        <f t="shared" si="1"/>
        <v>16.5</v>
      </c>
      <c r="Q16" s="21">
        <f t="shared" si="2"/>
        <v>2.708333333333332E-2</v>
      </c>
      <c r="R16" s="21">
        <f t="shared" si="9"/>
        <v>1.1479166666666667</v>
      </c>
      <c r="S16" s="11"/>
      <c r="T16" s="11"/>
      <c r="U16" s="18">
        <f t="shared" si="10"/>
        <v>0</v>
      </c>
      <c r="V16" s="29"/>
      <c r="W16" s="18">
        <f t="shared" si="7"/>
        <v>0</v>
      </c>
      <c r="X16" s="11">
        <f t="shared" si="3"/>
        <v>0</v>
      </c>
      <c r="Y16" s="18">
        <f t="shared" si="11"/>
        <v>0</v>
      </c>
      <c r="Z16" s="18">
        <f t="shared" si="4"/>
        <v>0</v>
      </c>
      <c r="AA16" s="11"/>
      <c r="AB16" s="11"/>
      <c r="AC16" s="30"/>
      <c r="AD16" s="29"/>
      <c r="AE16" s="30"/>
      <c r="AF16" s="30"/>
      <c r="AG16" s="30"/>
      <c r="AH16" s="19">
        <f t="shared" si="12"/>
        <v>0</v>
      </c>
    </row>
    <row r="17" spans="1:34" ht="13">
      <c r="A17" s="31" t="s">
        <v>6</v>
      </c>
      <c r="B17" s="57"/>
      <c r="C17" s="58"/>
      <c r="D17" s="58"/>
      <c r="E17" s="59"/>
      <c r="F17" s="33">
        <f>SUM(F4:F16)</f>
        <v>1521</v>
      </c>
      <c r="G17" s="22">
        <f>SUM(G16)</f>
        <v>1521</v>
      </c>
      <c r="H17" s="22">
        <f>SUM(H16)</f>
        <v>117</v>
      </c>
      <c r="I17" s="22">
        <f>SUM(I16)</f>
        <v>138</v>
      </c>
      <c r="J17" s="23">
        <f>SUM(J4:J16)</f>
        <v>3.8416666666666668</v>
      </c>
      <c r="K17" s="39">
        <f>F17/SUM(HOUR(J17)+(ROUNDDOWN(J17,0)*24),PRODUCT(MINUTE(J17)/60))</f>
        <v>16.496746203904554</v>
      </c>
      <c r="L17" s="44">
        <f>SUM(L4:L16)/COUNT(F4:F16)</f>
        <v>16.545454545454547</v>
      </c>
      <c r="M17" s="49">
        <f>PRODUCT(SUM(M4:M16),1/COUNT(M4:M16))</f>
        <v>54.536363636363639</v>
      </c>
      <c r="N17" s="23">
        <f>SUM(N4:N16)</f>
        <v>4.9895833333333339</v>
      </c>
      <c r="O17" s="39">
        <f>F17/SUM(HOUR(N17)+(ROUNDDOWN(N17,0)*24),PRODUCT(MINUTE(N17)/60))</f>
        <v>12.701461377870563</v>
      </c>
      <c r="P17" s="44">
        <f>SUM(P4:P16)/COUNT(F4:F16)</f>
        <v>12.872727272727275</v>
      </c>
      <c r="Q17" s="23">
        <f>SUM(Q4:Q16)</f>
        <v>1.1479166666666667</v>
      </c>
      <c r="R17" s="22"/>
      <c r="S17" s="22" t="e">
        <f>ROUND(SUM(S4:S16)/COUNT(S4:S16),0)</f>
        <v>#DIV/0!</v>
      </c>
      <c r="T17" s="22" t="e">
        <f>ROUND(SUM(T4:T16)/COUNT(T4:T16),0)</f>
        <v>#DIV/0!</v>
      </c>
      <c r="U17" s="24">
        <f>SUM(U4:U16)</f>
        <v>0</v>
      </c>
      <c r="V17" s="22" t="e">
        <f>ROUND(SUM(V4:V16)/COUNT(V4:V16),0)</f>
        <v>#DIV/0!</v>
      </c>
      <c r="W17" s="22">
        <f>SUM(W16)</f>
        <v>0</v>
      </c>
      <c r="X17" s="22" t="e">
        <f>ROUND(SUM(X4:X16)/COUNT(V4:V16),0)</f>
        <v>#DIV/0!</v>
      </c>
      <c r="Y17" s="22">
        <f>SUM(Y16)</f>
        <v>0</v>
      </c>
      <c r="Z17" s="24">
        <f>SUM(Z4:Z16)</f>
        <v>0</v>
      </c>
      <c r="AA17" s="22" t="e">
        <f>ROUND(SUM(AA4:AA16)/COUNT(AA4:AA16),0)</f>
        <v>#DIV/0!</v>
      </c>
      <c r="AB17" s="38" t="e">
        <f t="shared" ref="AB17:AG17" si="13">SUM(AB4:AB16)/COUNT(AB4:AB16)</f>
        <v>#DIV/0!</v>
      </c>
      <c r="AC17" s="38" t="e">
        <f t="shared" si="13"/>
        <v>#DIV/0!</v>
      </c>
      <c r="AD17" s="38" t="e">
        <f t="shared" si="13"/>
        <v>#DIV/0!</v>
      </c>
      <c r="AE17" s="38" t="e">
        <f t="shared" si="13"/>
        <v>#DIV/0!</v>
      </c>
      <c r="AF17" s="38" t="e">
        <f t="shared" si="13"/>
        <v>#DIV/0!</v>
      </c>
      <c r="AG17" s="38" t="e">
        <f t="shared" si="13"/>
        <v>#DIV/0!</v>
      </c>
      <c r="AH17" s="38" t="e">
        <f>SUM(AH4:AH16)/COUNT(AG4:AG16)</f>
        <v>#DIV/0!</v>
      </c>
    </row>
    <row r="18" spans="1:34" ht="13">
      <c r="Q18" s="11"/>
      <c r="R18" s="11"/>
      <c r="S18" s="11"/>
      <c r="W18" s="18"/>
      <c r="Y18" s="18"/>
    </row>
    <row r="19" spans="1:34" ht="13">
      <c r="O19" s="11"/>
      <c r="P19" s="11"/>
      <c r="Q19" s="11"/>
      <c r="R19" s="34"/>
      <c r="S19" s="11"/>
      <c r="T19" s="11"/>
      <c r="U19" s="11"/>
      <c r="V19" s="11"/>
      <c r="W19" s="18"/>
      <c r="X19" s="11"/>
      <c r="Y19" s="18"/>
      <c r="Z19" s="11"/>
      <c r="AA19" s="11"/>
    </row>
    <row r="20" spans="1:34" ht="13">
      <c r="N20" s="43"/>
      <c r="O20" s="11"/>
      <c r="P20" s="11"/>
      <c r="Q20" s="42"/>
      <c r="R20" s="42"/>
      <c r="S20" s="11"/>
      <c r="T20" s="11"/>
      <c r="U20" s="11"/>
      <c r="V20" s="11"/>
      <c r="W20" s="11"/>
      <c r="X20" s="11"/>
      <c r="Y20" s="11"/>
      <c r="Z20" s="11"/>
      <c r="AA20" s="11"/>
    </row>
    <row r="21" spans="1:34" ht="13">
      <c r="O21" s="11"/>
      <c r="P21" s="11"/>
      <c r="Q21" s="42"/>
      <c r="R21" s="42"/>
      <c r="S21" s="11"/>
      <c r="T21" s="11"/>
      <c r="U21" s="11"/>
      <c r="V21" s="11"/>
      <c r="W21" s="11"/>
      <c r="X21" s="11"/>
      <c r="Y21" s="11"/>
      <c r="Z21" s="11"/>
      <c r="AA21" s="11"/>
    </row>
    <row r="22" spans="1:34" ht="13">
      <c r="O22" s="11"/>
      <c r="P22" s="11"/>
      <c r="Q22" s="11"/>
      <c r="R22" s="42"/>
      <c r="S22" s="11"/>
      <c r="T22" s="11"/>
      <c r="U22" s="11"/>
      <c r="V22" s="11"/>
      <c r="W22" s="11"/>
      <c r="X22" s="11"/>
      <c r="Y22" s="11"/>
      <c r="Z22" s="11"/>
      <c r="AA22" s="11"/>
    </row>
    <row r="23" spans="1:34"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</sheetData>
  <mergeCells count="4">
    <mergeCell ref="A1:F1"/>
    <mergeCell ref="A2:F2"/>
    <mergeCell ref="G1:AH1"/>
    <mergeCell ref="B17:E17"/>
  </mergeCells>
  <phoneticPr fontId="0" type="noConversion"/>
  <pageMargins left="0.59055118110236227" right="0.39370078740157483" top="0.98425196850393704" bottom="0.98425196850393704" header="0.51181102362204722" footer="0.51181102362204722"/>
  <pageSetup paperSize="9" scale="93" orientation="landscape" r:id="rId1"/>
  <headerFooter alignWithMargins="0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85135-083D-4C2A-9CED-E37E242C92A1}">
  <sheetPr codeName="Tabelle2"/>
  <dimension ref="A1"/>
  <sheetViews>
    <sheetView workbookViewId="0"/>
  </sheetViews>
  <sheetFormatPr baseColWidth="10" defaultRowHeight="12.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C585-E8CA-486B-AD97-3B6738F1BA1C}">
  <sheetPr codeName="Tabelle3"/>
  <dimension ref="A1"/>
  <sheetViews>
    <sheetView workbookViewId="0"/>
  </sheetViews>
  <sheetFormatPr baseColWidth="10" defaultRowHeight="12.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MSCRM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christoph.gocke</dc:creator>
  <cp:lastModifiedBy>Gocke, Christoph</cp:lastModifiedBy>
  <cp:lastPrinted>2008-09-30T19:05:36Z</cp:lastPrinted>
  <dcterms:created xsi:type="dcterms:W3CDTF">2001-02-09T16:25:48Z</dcterms:created>
  <dcterms:modified xsi:type="dcterms:W3CDTF">2025-11-12T20:01:52Z</dcterms:modified>
</cp:coreProperties>
</file>