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6DABFE51-67C8-4323-A393-38C206DB936B}" xr6:coauthVersionLast="47" xr6:coauthVersionMax="47" xr10:uidLastSave="{00000000-0000-0000-0000-000000000000}"/>
  <bookViews>
    <workbookView xWindow="-110" yWindow="-110" windowWidth="19420" windowHeight="10420" xr2:uid="{FA214C86-A636-4061-8550-717EFD7C01C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P4" i="1"/>
  <c r="P25" i="1" s="1"/>
  <c r="Q4" i="1"/>
  <c r="R4" i="1" s="1"/>
  <c r="R5" i="1" s="1"/>
  <c r="R6" i="1" s="1"/>
  <c r="R7" i="1" s="1"/>
  <c r="U4" i="1"/>
  <c r="W4" i="1"/>
  <c r="Y4" i="1"/>
  <c r="Z4" i="1"/>
  <c r="AH4" i="1"/>
  <c r="AH25" i="1" s="1"/>
  <c r="G5" i="1"/>
  <c r="I5" i="1" s="1"/>
  <c r="H5" i="1"/>
  <c r="K5" i="1"/>
  <c r="L5" i="1"/>
  <c r="P5" i="1"/>
  <c r="Q5" i="1"/>
  <c r="U5" i="1"/>
  <c r="U25" i="1" s="1"/>
  <c r="W5" i="1"/>
  <c r="Y5" i="1"/>
  <c r="Z5" i="1"/>
  <c r="AH5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L6" i="1"/>
  <c r="P6" i="1"/>
  <c r="Q6" i="1"/>
  <c r="U6" i="1"/>
  <c r="W6" i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Y6" i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Z6" i="1"/>
  <c r="AH6" i="1"/>
  <c r="L7" i="1"/>
  <c r="L25" i="1" s="1"/>
  <c r="P7" i="1"/>
  <c r="Q7" i="1"/>
  <c r="U7" i="1"/>
  <c r="Z7" i="1"/>
  <c r="Z25" i="1" s="1"/>
  <c r="AH7" i="1"/>
  <c r="L8" i="1"/>
  <c r="P8" i="1"/>
  <c r="Q8" i="1"/>
  <c r="R8" i="1" s="1"/>
  <c r="R9" i="1" s="1"/>
  <c r="R10" i="1" s="1"/>
  <c r="R11" i="1" s="1"/>
  <c r="U8" i="1"/>
  <c r="Z8" i="1"/>
  <c r="AH8" i="1"/>
  <c r="L9" i="1"/>
  <c r="P9" i="1"/>
  <c r="Q9" i="1"/>
  <c r="U9" i="1"/>
  <c r="Z9" i="1"/>
  <c r="AH9" i="1"/>
  <c r="L10" i="1"/>
  <c r="P10" i="1"/>
  <c r="Q10" i="1"/>
  <c r="U10" i="1"/>
  <c r="Z10" i="1"/>
  <c r="AH10" i="1"/>
  <c r="L11" i="1"/>
  <c r="P11" i="1"/>
  <c r="Q11" i="1"/>
  <c r="U11" i="1"/>
  <c r="Z11" i="1"/>
  <c r="AH11" i="1"/>
  <c r="L12" i="1"/>
  <c r="P12" i="1"/>
  <c r="Q12" i="1"/>
  <c r="U12" i="1"/>
  <c r="Z12" i="1"/>
  <c r="AH12" i="1"/>
  <c r="L13" i="1"/>
  <c r="P13" i="1"/>
  <c r="Q13" i="1"/>
  <c r="U13" i="1"/>
  <c r="Z13" i="1"/>
  <c r="AH13" i="1"/>
  <c r="L14" i="1"/>
  <c r="P14" i="1"/>
  <c r="Q14" i="1"/>
  <c r="U14" i="1"/>
  <c r="Z14" i="1"/>
  <c r="AH14" i="1"/>
  <c r="L15" i="1"/>
  <c r="P15" i="1"/>
  <c r="Q15" i="1"/>
  <c r="U15" i="1"/>
  <c r="Z15" i="1"/>
  <c r="AH15" i="1"/>
  <c r="L16" i="1"/>
  <c r="P16" i="1"/>
  <c r="Q16" i="1"/>
  <c r="U16" i="1"/>
  <c r="Z16" i="1"/>
  <c r="AH16" i="1"/>
  <c r="L17" i="1"/>
  <c r="P17" i="1"/>
  <c r="Q17" i="1"/>
  <c r="U17" i="1"/>
  <c r="Z17" i="1"/>
  <c r="AH17" i="1"/>
  <c r="L18" i="1"/>
  <c r="P18" i="1"/>
  <c r="Q18" i="1"/>
  <c r="U18" i="1"/>
  <c r="Z18" i="1"/>
  <c r="AH18" i="1"/>
  <c r="L19" i="1"/>
  <c r="P19" i="1"/>
  <c r="Q19" i="1"/>
  <c r="U19" i="1"/>
  <c r="Z19" i="1"/>
  <c r="AH19" i="1"/>
  <c r="L20" i="1"/>
  <c r="P20" i="1"/>
  <c r="Q20" i="1"/>
  <c r="U20" i="1"/>
  <c r="Z20" i="1"/>
  <c r="AH20" i="1"/>
  <c r="L21" i="1"/>
  <c r="P21" i="1"/>
  <c r="Q21" i="1"/>
  <c r="U21" i="1"/>
  <c r="Z21" i="1"/>
  <c r="AH21" i="1"/>
  <c r="L22" i="1"/>
  <c r="P22" i="1"/>
  <c r="Q22" i="1"/>
  <c r="U22" i="1"/>
  <c r="Z22" i="1"/>
  <c r="AH22" i="1"/>
  <c r="L23" i="1"/>
  <c r="P23" i="1"/>
  <c r="Q23" i="1"/>
  <c r="U23" i="1"/>
  <c r="Z23" i="1"/>
  <c r="AH23" i="1"/>
  <c r="L24" i="1"/>
  <c r="P24" i="1"/>
  <c r="Q24" i="1"/>
  <c r="U24" i="1"/>
  <c r="Z24" i="1"/>
  <c r="AH24" i="1"/>
  <c r="F25" i="1"/>
  <c r="K25" i="1" s="1"/>
  <c r="J25" i="1"/>
  <c r="M25" i="1"/>
  <c r="N25" i="1"/>
  <c r="O25" i="1"/>
  <c r="S25" i="1"/>
  <c r="T25" i="1"/>
  <c r="V25" i="1"/>
  <c r="X25" i="1"/>
  <c r="AA25" i="1"/>
  <c r="AB25" i="1"/>
  <c r="AC25" i="1"/>
  <c r="AD25" i="1"/>
  <c r="AE25" i="1"/>
  <c r="AF25" i="1"/>
  <c r="AG25" i="1"/>
  <c r="R12" i="1" l="1"/>
  <c r="R13" i="1" s="1"/>
  <c r="R14" i="1" s="1"/>
  <c r="R15" i="1" s="1"/>
  <c r="R16" i="1"/>
  <c r="R17" i="1" s="1"/>
  <c r="R18" i="1" s="1"/>
  <c r="R19" i="1" s="1"/>
  <c r="R20" i="1" s="1"/>
  <c r="R21" i="1" s="1"/>
  <c r="R22" i="1" s="1"/>
  <c r="R23" i="1" s="1"/>
  <c r="R24" i="1" s="1"/>
  <c r="G6" i="1"/>
  <c r="I4" i="1"/>
  <c r="Q25" i="1"/>
  <c r="G7" i="1" l="1"/>
  <c r="H6" i="1"/>
  <c r="I6" i="1"/>
  <c r="G8" i="1" l="1"/>
  <c r="H7" i="1"/>
  <c r="I7" i="1"/>
  <c r="H8" i="1" l="1"/>
  <c r="I8" i="1"/>
  <c r="G9" i="1"/>
  <c r="I9" i="1" l="1"/>
  <c r="G10" i="1"/>
  <c r="H9" i="1"/>
  <c r="H10" i="1" l="1"/>
  <c r="G11" i="1"/>
  <c r="I10" i="1"/>
  <c r="G12" i="1" l="1"/>
  <c r="H11" i="1"/>
  <c r="I11" i="1"/>
  <c r="G13" i="1" l="1"/>
  <c r="H12" i="1"/>
  <c r="I12" i="1"/>
  <c r="I13" i="1" l="1"/>
  <c r="H13" i="1"/>
  <c r="G14" i="1"/>
  <c r="H14" i="1" l="1"/>
  <c r="G15" i="1"/>
  <c r="I14" i="1"/>
  <c r="G16" i="1" l="1"/>
  <c r="H15" i="1"/>
  <c r="I15" i="1"/>
  <c r="G17" i="1" l="1"/>
  <c r="H16" i="1"/>
  <c r="I16" i="1"/>
  <c r="I17" i="1" l="1"/>
  <c r="H17" i="1"/>
  <c r="G18" i="1"/>
  <c r="H18" i="1" l="1"/>
  <c r="G19" i="1"/>
  <c r="I18" i="1"/>
  <c r="G20" i="1" l="1"/>
  <c r="H19" i="1"/>
  <c r="I19" i="1"/>
  <c r="H20" i="1" l="1"/>
  <c r="I20" i="1"/>
  <c r="G21" i="1"/>
  <c r="I21" i="1" l="1"/>
  <c r="H21" i="1"/>
  <c r="G22" i="1"/>
  <c r="G23" i="1" l="1"/>
  <c r="H22" i="1"/>
  <c r="I22" i="1"/>
  <c r="G24" i="1" l="1"/>
  <c r="H23" i="1"/>
  <c r="I23" i="1"/>
  <c r="H24" i="1" l="1"/>
  <c r="H25" i="1" s="1"/>
  <c r="I24" i="1"/>
  <c r="I25" i="1" s="1"/>
  <c r="G25" i="1"/>
</calcChain>
</file>

<file path=xl/sharedStrings.xml><?xml version="1.0" encoding="utf-8"?>
<sst xmlns="http://schemas.openxmlformats.org/spreadsheetml/2006/main" count="108" uniqueCount="88">
  <si>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</si>
  <si>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</si>
  <si>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</si>
  <si>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</si>
  <si>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</si>
  <si>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</si>
  <si>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</si>
  <si>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</si>
  <si>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</si>
  <si>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</si>
  <si>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</si>
  <si>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</si>
  <si>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</si>
  <si>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</si>
  <si>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</si>
  <si>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</si>
  <si>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</si>
  <si>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</si>
  <si>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</si>
  <si>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</si>
  <si>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</si>
  <si>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</si>
  <si>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</si>
  <si>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</si>
  <si>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</si>
  <si>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</si>
  <si>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</si>
  <si>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</si>
  <si>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</si>
  <si>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</si>
  <si>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</si>
  <si>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</si>
  <si>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</si>
  <si>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</si>
  <si>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</si>
  <si>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</si>
  <si>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</si>
  <si>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</si>
  <si>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</si>
  <si>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</si>
  <si>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</si>
  <si>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</si>
  <si>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</si>
  <si>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</si>
  <si>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</si>
  <si>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</si>
  <si>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</si>
  <si>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</si>
  <si>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</si>
  <si>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</si>
  <si>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</si>
  <si>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</si>
  <si>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</si>
  <si>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</si>
  <si>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</si>
  <si>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</si>
  <si>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Casablanca - Dakar (24.11.-14.12.2006)</t>
  </si>
  <si>
    <r>
      <t>Statistik</t>
    </r>
    <r>
      <rPr>
        <b/>
        <sz val="20"/>
        <rFont val="Arial"/>
        <family val="2"/>
      </rPr>
      <t xml:space="preserve"> Casablanca - Dakar (24.11.-14.12.2006)</t>
    </r>
  </si>
  <si>
    <t>Casablanca</t>
  </si>
  <si>
    <t>El Jadida</t>
  </si>
  <si>
    <t>Safi</t>
  </si>
  <si>
    <t>Essaouira</t>
  </si>
  <si>
    <t>Agadir</t>
  </si>
  <si>
    <t>Tiznit</t>
  </si>
  <si>
    <t>Sidi Ifni</t>
  </si>
  <si>
    <t>Guelmim</t>
  </si>
  <si>
    <t>Ras Oumlil</t>
  </si>
  <si>
    <t>Tan-Tan - El Ouatia</t>
  </si>
  <si>
    <t>Akhfenir</t>
  </si>
  <si>
    <t>Sebkha Naila</t>
  </si>
  <si>
    <t>Tarfaya</t>
  </si>
  <si>
    <t>Tah (Grenze Marokko/West-Sahara)</t>
  </si>
  <si>
    <t>Laayoune</t>
  </si>
  <si>
    <t>El Marsa (Laayoune Plage) - Lemsid</t>
  </si>
  <si>
    <t>Boujdour</t>
  </si>
  <si>
    <t>Lakraa/Echtoucan</t>
  </si>
  <si>
    <t>El Argoub</t>
  </si>
  <si>
    <t>Lamhiriz/Barbas</t>
  </si>
  <si>
    <t>Guergarat (Grenze West-Sahara/Mauretanien)</t>
  </si>
  <si>
    <t>Bou Lanouar</t>
  </si>
  <si>
    <t>Tinchiri</t>
  </si>
  <si>
    <t>Nouakchott</t>
  </si>
  <si>
    <t>Rosso (Fähre/Grenze Mauretanien/Senegal)</t>
  </si>
  <si>
    <t>Richard Toll</t>
  </si>
  <si>
    <t>St. Louis</t>
  </si>
  <si>
    <t>Thiès</t>
  </si>
  <si>
    <t>Dakar - Cap Vert</t>
  </si>
  <si>
    <t>Yoff/Aéroport de Dakar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</si>
</sst>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0" fontId="0" fillId="0" borderId="3" xfId="0" applyNumberFormat="1" applyBorder="1"/>
    <xf numFmtId="20" fontId="0" fillId="0" borderId="0" xfId="0" applyNumberFormat="1" applyBorder="1"/>
    <xf numFmtId="0" fontId="0" fillId="0" borderId="7" xfId="0" applyBorder="1"/>
    <xf numFmtId="20" fontId="0" fillId="0" borderId="7" xfId="0" applyNumberForma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7" xfId="0" applyNumberForma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0" fillId="0" borderId="9" xfId="0" applyBorder="1" applyAlignment="1"/>
    <xf numFmtId="0" fontId="9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14" fontId="4" fillId="0" borderId="8" xfId="0" applyNumberFormat="1" applyFont="1" applyBorder="1" applyAlignment="1">
      <alignment horizontal="center" vertical="top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2373-BF91-4860-B10C-56B3978AB8C1}">
  <sheetPr codeName="Tabelle1"/>
  <dimension ref="A1:AH31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56</v>
      </c>
      <c r="B1" s="50"/>
      <c r="C1" s="50"/>
      <c r="D1" s="50"/>
      <c r="E1" s="50"/>
      <c r="F1" s="51"/>
      <c r="G1" s="53" t="s">
        <v>57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44</v>
      </c>
      <c r="M3" s="25" t="s">
        <v>25</v>
      </c>
      <c r="N3" s="25" t="s">
        <v>14</v>
      </c>
      <c r="O3" s="26" t="s">
        <v>33</v>
      </c>
      <c r="P3" s="25" t="s">
        <v>43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0" t="s">
        <v>47</v>
      </c>
      <c r="B4" s="30">
        <v>39045</v>
      </c>
      <c r="C4" s="5" t="s">
        <v>58</v>
      </c>
      <c r="D4" s="6"/>
      <c r="E4" s="4" t="s">
        <v>59</v>
      </c>
      <c r="F4" s="5">
        <v>112</v>
      </c>
      <c r="G4" s="13">
        <f>SUM(F4)</f>
        <v>112</v>
      </c>
      <c r="H4" s="14">
        <f>ROUND(PRODUCT(G4/1),0)</f>
        <v>112</v>
      </c>
      <c r="I4" s="14">
        <f>ROUND(PRODUCT(G4/COUNT(F4:F4)),0)</f>
        <v>112</v>
      </c>
      <c r="J4" s="41">
        <v>0.31041666666666667</v>
      </c>
      <c r="K4" s="20">
        <f>SUM(J4)</f>
        <v>0.31041666666666667</v>
      </c>
      <c r="L4" s="38">
        <f t="shared" ref="L4:L24" si="0">IF(F4=0,0,ROUND(PRODUCT(F4/SUM(HOUR(J4),PRODUCT(MINUTE(J4)/60))),1))</f>
        <v>15</v>
      </c>
      <c r="M4" s="45">
        <v>35.4</v>
      </c>
      <c r="N4" s="41">
        <v>0.375</v>
      </c>
      <c r="O4" s="20">
        <f>SUM(N4)</f>
        <v>0.375</v>
      </c>
      <c r="P4" s="38">
        <f t="shared" ref="P4:P24" si="1">IF(F4=0,0,ROUND(PRODUCT(F4/SUM(HOUR(N4),PRODUCT(MINUTE(N4)/60))),1))</f>
        <v>12.4</v>
      </c>
      <c r="Q4" s="20">
        <f t="shared" ref="Q4:Q24" si="2">SUM(N4,-J4)</f>
        <v>6.4583333333333326E-2</v>
      </c>
      <c r="R4" s="20">
        <f>SUM(Q4)</f>
        <v>6.4583333333333326E-2</v>
      </c>
      <c r="S4" s="14">
        <v>22</v>
      </c>
      <c r="T4" s="14">
        <v>38</v>
      </c>
      <c r="U4" s="15">
        <f>SUM(-S4,T4)</f>
        <v>16</v>
      </c>
      <c r="V4" s="14">
        <v>166</v>
      </c>
      <c r="W4" s="15">
        <f>SUM(V4)</f>
        <v>166</v>
      </c>
      <c r="X4" s="14">
        <v>155</v>
      </c>
      <c r="Y4" s="15">
        <f>SUM(X4)</f>
        <v>155</v>
      </c>
      <c r="Z4" s="15">
        <f t="shared" ref="Z4:Z24" si="3">SUM(V4,-X4)</f>
        <v>11</v>
      </c>
      <c r="AA4" s="14">
        <v>54</v>
      </c>
      <c r="AB4" s="14">
        <v>4</v>
      </c>
      <c r="AC4" s="14">
        <v>10</v>
      </c>
      <c r="AD4" s="14">
        <v>4</v>
      </c>
      <c r="AE4" s="14">
        <v>7</v>
      </c>
      <c r="AF4" s="14">
        <v>16</v>
      </c>
      <c r="AG4" s="14">
        <v>26</v>
      </c>
      <c r="AH4" s="16">
        <f>SUM(AG4,-AF4)</f>
        <v>10</v>
      </c>
    </row>
    <row r="5" spans="1:34" ht="13">
      <c r="A5" s="40" t="s">
        <v>48</v>
      </c>
      <c r="B5" s="30">
        <v>39046</v>
      </c>
      <c r="C5" s="5" t="s">
        <v>59</v>
      </c>
      <c r="D5" s="6"/>
      <c r="E5" s="4" t="s">
        <v>60</v>
      </c>
      <c r="F5" s="5">
        <v>145</v>
      </c>
      <c r="G5" s="17">
        <f>SUM(G4,F5)</f>
        <v>257</v>
      </c>
      <c r="H5" s="11">
        <f>ROUND(PRODUCT(G5/2),0)</f>
        <v>129</v>
      </c>
      <c r="I5" s="11">
        <f>ROUND(PRODUCT(G5/COUNT(F4:F5)),0)</f>
        <v>129</v>
      </c>
      <c r="J5" s="42">
        <v>0.35347222222222219</v>
      </c>
      <c r="K5" s="21">
        <f t="shared" ref="K5:K24" si="4">SUM(J5,K4)</f>
        <v>0.66388888888888886</v>
      </c>
      <c r="L5" s="38">
        <f t="shared" si="0"/>
        <v>17.100000000000001</v>
      </c>
      <c r="M5" s="46">
        <v>47.9</v>
      </c>
      <c r="N5" s="42">
        <v>0.40277777777777773</v>
      </c>
      <c r="O5" s="21">
        <f t="shared" ref="O5:O24" si="5">SUM(N5,O4)</f>
        <v>0.77777777777777768</v>
      </c>
      <c r="P5" s="38">
        <f t="shared" si="1"/>
        <v>15</v>
      </c>
      <c r="Q5" s="21">
        <f t="shared" si="2"/>
        <v>4.9305555555555547E-2</v>
      </c>
      <c r="R5" s="21">
        <f>SUM(Q5,R4)</f>
        <v>0.11388888888888887</v>
      </c>
      <c r="S5" s="11">
        <v>38</v>
      </c>
      <c r="T5" s="11">
        <v>15</v>
      </c>
      <c r="U5" s="18">
        <f>SUM(-S5,T5)</f>
        <v>-23</v>
      </c>
      <c r="V5" s="11">
        <v>594</v>
      </c>
      <c r="W5" s="18">
        <f t="shared" ref="W5:W24" si="6">SUM(W4,V5)</f>
        <v>760</v>
      </c>
      <c r="X5" s="11">
        <v>612</v>
      </c>
      <c r="Y5" s="18">
        <f>SUM(Y4,X5)</f>
        <v>767</v>
      </c>
      <c r="Z5" s="18">
        <f t="shared" si="3"/>
        <v>-18</v>
      </c>
      <c r="AA5" s="11">
        <v>122</v>
      </c>
      <c r="AB5" s="11">
        <v>4</v>
      </c>
      <c r="AC5" s="11">
        <v>12</v>
      </c>
      <c r="AD5" s="11">
        <v>4</v>
      </c>
      <c r="AE5" s="11">
        <v>18</v>
      </c>
      <c r="AF5" s="11">
        <v>12</v>
      </c>
      <c r="AG5" s="11">
        <v>22</v>
      </c>
      <c r="AH5" s="19">
        <f>SUM(AG5,-AF5)</f>
        <v>10</v>
      </c>
    </row>
    <row r="6" spans="1:34" ht="13">
      <c r="A6" s="40" t="s">
        <v>49</v>
      </c>
      <c r="B6" s="30">
        <v>39047</v>
      </c>
      <c r="C6" s="5" t="s">
        <v>60</v>
      </c>
      <c r="D6" s="6"/>
      <c r="E6" s="4" t="s">
        <v>61</v>
      </c>
      <c r="F6" s="5">
        <v>128</v>
      </c>
      <c r="G6" s="17">
        <f t="shared" ref="G6:G24" si="7">SUM(G5,F6)</f>
        <v>385</v>
      </c>
      <c r="H6" s="11">
        <f>ROUND(PRODUCT(G6/3),0)</f>
        <v>128</v>
      </c>
      <c r="I6" s="11">
        <f>ROUND(PRODUCT(G6/COUNT(F4:F6)),0)</f>
        <v>128</v>
      </c>
      <c r="J6" s="42">
        <v>0.29722222222222222</v>
      </c>
      <c r="K6" s="21">
        <f t="shared" si="4"/>
        <v>0.96111111111111103</v>
      </c>
      <c r="L6" s="38">
        <f t="shared" si="0"/>
        <v>17.899999999999999</v>
      </c>
      <c r="M6" s="46">
        <v>70.3</v>
      </c>
      <c r="N6" s="42">
        <v>0.38541666666666669</v>
      </c>
      <c r="O6" s="21">
        <f t="shared" si="5"/>
        <v>1.1631944444444444</v>
      </c>
      <c r="P6" s="38">
        <f t="shared" si="1"/>
        <v>13.8</v>
      </c>
      <c r="Q6" s="21">
        <f t="shared" si="2"/>
        <v>8.8194444444444464E-2</v>
      </c>
      <c r="R6" s="21">
        <f t="shared" ref="R6:R24" si="8">SUM(Q6,R5)</f>
        <v>0.20208333333333334</v>
      </c>
      <c r="S6" s="11">
        <v>15</v>
      </c>
      <c r="T6" s="11">
        <v>15</v>
      </c>
      <c r="U6" s="18">
        <f t="shared" ref="U6:U24" si="9">SUM(-S6,T6)</f>
        <v>0</v>
      </c>
      <c r="V6" s="11">
        <v>854</v>
      </c>
      <c r="W6" s="18">
        <f t="shared" si="6"/>
        <v>1614</v>
      </c>
      <c r="X6" s="11">
        <v>911</v>
      </c>
      <c r="Y6" s="18">
        <f t="shared" ref="Y6:Y24" si="10">SUM(Y5,X6)</f>
        <v>1678</v>
      </c>
      <c r="Z6" s="18">
        <f t="shared" si="3"/>
        <v>-57</v>
      </c>
      <c r="AA6" s="11">
        <v>198</v>
      </c>
      <c r="AB6" s="11">
        <v>5</v>
      </c>
      <c r="AC6" s="11">
        <v>12</v>
      </c>
      <c r="AD6" s="11">
        <v>5</v>
      </c>
      <c r="AE6" s="11">
        <v>11</v>
      </c>
      <c r="AF6" s="11">
        <v>16</v>
      </c>
      <c r="AG6" s="11">
        <v>31</v>
      </c>
      <c r="AH6" s="19">
        <f t="shared" ref="AH6:AH24" si="11">SUM(AG6,-AF6)</f>
        <v>15</v>
      </c>
    </row>
    <row r="7" spans="1:34" ht="13">
      <c r="A7" s="40" t="s">
        <v>50</v>
      </c>
      <c r="B7" s="30">
        <v>39048</v>
      </c>
      <c r="C7" s="5" t="s">
        <v>61</v>
      </c>
      <c r="D7" s="6"/>
      <c r="E7" s="4" t="s">
        <v>62</v>
      </c>
      <c r="F7" s="5">
        <v>175</v>
      </c>
      <c r="G7" s="17">
        <f t="shared" si="7"/>
        <v>560</v>
      </c>
      <c r="H7" s="11">
        <f>ROUND(PRODUCT(G7/4),0)</f>
        <v>140</v>
      </c>
      <c r="I7" s="11">
        <f>ROUND(PRODUCT(G7/COUNT(F4:F7)),0)</f>
        <v>140</v>
      </c>
      <c r="J7" s="42">
        <v>0.38611111111111113</v>
      </c>
      <c r="K7" s="21">
        <f t="shared" si="4"/>
        <v>1.3472222222222221</v>
      </c>
      <c r="L7" s="38">
        <f t="shared" si="0"/>
        <v>18.899999999999999</v>
      </c>
      <c r="M7" s="46">
        <v>58.9</v>
      </c>
      <c r="N7" s="42">
        <v>0.44791666666666669</v>
      </c>
      <c r="O7" s="21">
        <f t="shared" si="5"/>
        <v>1.6111111111111112</v>
      </c>
      <c r="P7" s="38">
        <f t="shared" si="1"/>
        <v>16.3</v>
      </c>
      <c r="Q7" s="21">
        <f t="shared" si="2"/>
        <v>6.1805555555555558E-2</v>
      </c>
      <c r="R7" s="21">
        <f t="shared" si="8"/>
        <v>0.2638888888888889</v>
      </c>
      <c r="S7" s="11">
        <v>15</v>
      </c>
      <c r="T7" s="11">
        <v>45</v>
      </c>
      <c r="U7" s="18">
        <f t="shared" si="9"/>
        <v>30</v>
      </c>
      <c r="V7" s="11">
        <v>1509</v>
      </c>
      <c r="W7" s="18">
        <f t="shared" si="6"/>
        <v>3123</v>
      </c>
      <c r="X7" s="11">
        <v>1497</v>
      </c>
      <c r="Y7" s="18">
        <f t="shared" si="10"/>
        <v>3175</v>
      </c>
      <c r="Z7" s="18">
        <f t="shared" si="3"/>
        <v>12</v>
      </c>
      <c r="AA7" s="11">
        <v>455</v>
      </c>
      <c r="AB7" s="11">
        <v>4</v>
      </c>
      <c r="AC7" s="11">
        <v>9</v>
      </c>
      <c r="AD7" s="11">
        <v>5</v>
      </c>
      <c r="AE7" s="11">
        <v>14</v>
      </c>
      <c r="AF7" s="11">
        <v>15</v>
      </c>
      <c r="AG7" s="11">
        <v>25</v>
      </c>
      <c r="AH7" s="19">
        <f t="shared" si="11"/>
        <v>10</v>
      </c>
    </row>
    <row r="8" spans="1:34" ht="13">
      <c r="A8" s="40" t="s">
        <v>51</v>
      </c>
      <c r="B8" s="30">
        <v>39049</v>
      </c>
      <c r="C8" s="5" t="s">
        <v>62</v>
      </c>
      <c r="D8" s="6" t="s">
        <v>63</v>
      </c>
      <c r="E8" s="4" t="s">
        <v>64</v>
      </c>
      <c r="F8" s="5">
        <v>171</v>
      </c>
      <c r="G8" s="17">
        <f t="shared" si="7"/>
        <v>731</v>
      </c>
      <c r="H8" s="11">
        <f>ROUND(PRODUCT(G8/5),0)</f>
        <v>146</v>
      </c>
      <c r="I8" s="11">
        <f>ROUND(PRODUCT(G8/COUNT(F4:F8)),0)</f>
        <v>146</v>
      </c>
      <c r="J8" s="42">
        <v>0.36180555555555555</v>
      </c>
      <c r="K8" s="21">
        <f t="shared" si="4"/>
        <v>1.7090277777777776</v>
      </c>
      <c r="L8" s="38">
        <f t="shared" si="0"/>
        <v>19.7</v>
      </c>
      <c r="M8" s="46">
        <v>59.3</v>
      </c>
      <c r="N8" s="42">
        <v>0.4375</v>
      </c>
      <c r="O8" s="21">
        <f t="shared" si="5"/>
        <v>2.0486111111111112</v>
      </c>
      <c r="P8" s="38">
        <f t="shared" si="1"/>
        <v>16.3</v>
      </c>
      <c r="Q8" s="21">
        <f t="shared" si="2"/>
        <v>7.5694444444444453E-2</v>
      </c>
      <c r="R8" s="21">
        <f t="shared" si="8"/>
        <v>0.33958333333333335</v>
      </c>
      <c r="S8" s="11">
        <v>45</v>
      </c>
      <c r="T8" s="11">
        <v>68</v>
      </c>
      <c r="U8" s="18">
        <f t="shared" si="9"/>
        <v>23</v>
      </c>
      <c r="V8" s="11">
        <v>1020</v>
      </c>
      <c r="W8" s="18">
        <f t="shared" si="6"/>
        <v>4143</v>
      </c>
      <c r="X8" s="11">
        <v>996</v>
      </c>
      <c r="Y8" s="18">
        <f t="shared" si="10"/>
        <v>4171</v>
      </c>
      <c r="Z8" s="18">
        <f t="shared" si="3"/>
        <v>24</v>
      </c>
      <c r="AA8" s="11">
        <v>390</v>
      </c>
      <c r="AB8" s="11">
        <v>6</v>
      </c>
      <c r="AC8" s="11">
        <v>12</v>
      </c>
      <c r="AD8" s="11">
        <v>5</v>
      </c>
      <c r="AE8" s="11">
        <v>12</v>
      </c>
      <c r="AF8" s="11">
        <v>14</v>
      </c>
      <c r="AG8" s="11">
        <v>36</v>
      </c>
      <c r="AH8" s="19">
        <f t="shared" si="11"/>
        <v>22</v>
      </c>
    </row>
    <row r="9" spans="1:34" ht="13">
      <c r="A9" s="40" t="s">
        <v>52</v>
      </c>
      <c r="B9" s="30">
        <v>39050</v>
      </c>
      <c r="C9" s="5" t="s">
        <v>64</v>
      </c>
      <c r="D9" s="6" t="s">
        <v>65</v>
      </c>
      <c r="E9" s="4" t="s">
        <v>66</v>
      </c>
      <c r="F9" s="5">
        <v>128</v>
      </c>
      <c r="G9" s="17">
        <f t="shared" si="7"/>
        <v>859</v>
      </c>
      <c r="H9" s="11">
        <f>ROUND(PRODUCT(G9/6),0)</f>
        <v>143</v>
      </c>
      <c r="I9" s="11">
        <f>ROUND(PRODUCT(G9/COUNT(F4:F9)),0)</f>
        <v>143</v>
      </c>
      <c r="J9" s="42">
        <v>0.29583333333333334</v>
      </c>
      <c r="K9" s="21">
        <f t="shared" si="4"/>
        <v>2.004861111111111</v>
      </c>
      <c r="L9" s="38">
        <f t="shared" si="0"/>
        <v>18</v>
      </c>
      <c r="M9" s="46">
        <v>55</v>
      </c>
      <c r="N9" s="42">
        <v>0.35416666666666669</v>
      </c>
      <c r="O9" s="21">
        <f t="shared" si="5"/>
        <v>2.4027777777777777</v>
      </c>
      <c r="P9" s="38">
        <f t="shared" si="1"/>
        <v>15.1</v>
      </c>
      <c r="Q9" s="21">
        <f t="shared" si="2"/>
        <v>5.8333333333333348E-2</v>
      </c>
      <c r="R9" s="21">
        <f t="shared" si="8"/>
        <v>0.3979166666666667</v>
      </c>
      <c r="S9" s="11">
        <v>68</v>
      </c>
      <c r="T9" s="11">
        <v>184</v>
      </c>
      <c r="U9" s="18">
        <f t="shared" si="9"/>
        <v>116</v>
      </c>
      <c r="V9" s="11">
        <v>865</v>
      </c>
      <c r="W9" s="18">
        <f t="shared" si="6"/>
        <v>5008</v>
      </c>
      <c r="X9" s="11">
        <v>730</v>
      </c>
      <c r="Y9" s="18">
        <f t="shared" si="10"/>
        <v>4901</v>
      </c>
      <c r="Z9" s="18">
        <f t="shared" si="3"/>
        <v>135</v>
      </c>
      <c r="AA9" s="11">
        <v>590</v>
      </c>
      <c r="AB9" s="11">
        <v>6</v>
      </c>
      <c r="AC9" s="11">
        <v>13</v>
      </c>
      <c r="AD9" s="11">
        <v>5</v>
      </c>
      <c r="AE9" s="11">
        <v>9</v>
      </c>
      <c r="AF9" s="11">
        <v>18</v>
      </c>
      <c r="AG9" s="11">
        <v>31</v>
      </c>
      <c r="AH9" s="19">
        <f t="shared" si="11"/>
        <v>13</v>
      </c>
    </row>
    <row r="10" spans="1:34" ht="13">
      <c r="A10" s="40" t="s">
        <v>53</v>
      </c>
      <c r="B10" s="30">
        <v>39051</v>
      </c>
      <c r="C10" s="5" t="s">
        <v>66</v>
      </c>
      <c r="D10" s="6" t="s">
        <v>67</v>
      </c>
      <c r="E10" s="4" t="s">
        <v>68</v>
      </c>
      <c r="F10" s="5">
        <v>179</v>
      </c>
      <c r="G10" s="17">
        <f t="shared" si="7"/>
        <v>1038</v>
      </c>
      <c r="H10" s="11">
        <f>ROUND(PRODUCT(G10/7),0)</f>
        <v>148</v>
      </c>
      <c r="I10" s="11">
        <f>ROUND(PRODUCT(G10/COUNT(F4:F10)),0)</f>
        <v>148</v>
      </c>
      <c r="J10" s="42">
        <v>0.37708333333333338</v>
      </c>
      <c r="K10" s="21">
        <f t="shared" si="4"/>
        <v>2.3819444444444442</v>
      </c>
      <c r="L10" s="38">
        <f t="shared" si="0"/>
        <v>19.8</v>
      </c>
      <c r="M10" s="46">
        <v>57</v>
      </c>
      <c r="N10" s="42">
        <v>0.47222222222222227</v>
      </c>
      <c r="O10" s="21">
        <f t="shared" si="5"/>
        <v>2.875</v>
      </c>
      <c r="P10" s="38">
        <f t="shared" si="1"/>
        <v>15.8</v>
      </c>
      <c r="Q10" s="21">
        <f t="shared" si="2"/>
        <v>9.5138888888888884E-2</v>
      </c>
      <c r="R10" s="21">
        <f t="shared" si="8"/>
        <v>0.49305555555555558</v>
      </c>
      <c r="S10" s="11">
        <v>184</v>
      </c>
      <c r="T10" s="11">
        <v>18</v>
      </c>
      <c r="U10" s="18">
        <f t="shared" si="9"/>
        <v>-166</v>
      </c>
      <c r="V10" s="11">
        <v>697</v>
      </c>
      <c r="W10" s="18">
        <f t="shared" si="6"/>
        <v>5705</v>
      </c>
      <c r="X10" s="11">
        <v>869</v>
      </c>
      <c r="Y10" s="18">
        <f t="shared" si="10"/>
        <v>5770</v>
      </c>
      <c r="Z10" s="18">
        <f t="shared" si="3"/>
        <v>-172</v>
      </c>
      <c r="AA10" s="11">
        <v>360</v>
      </c>
      <c r="AB10" s="11">
        <v>5</v>
      </c>
      <c r="AC10" s="11">
        <v>12</v>
      </c>
      <c r="AD10" s="11">
        <v>5</v>
      </c>
      <c r="AE10" s="11">
        <v>9</v>
      </c>
      <c r="AF10" s="11">
        <v>15</v>
      </c>
      <c r="AG10" s="11">
        <v>36</v>
      </c>
      <c r="AH10" s="19">
        <f t="shared" si="11"/>
        <v>21</v>
      </c>
    </row>
    <row r="11" spans="1:34" ht="13">
      <c r="A11" s="6" t="s">
        <v>54</v>
      </c>
      <c r="B11" s="30">
        <v>39052</v>
      </c>
      <c r="C11" s="5" t="s">
        <v>68</v>
      </c>
      <c r="D11" s="6" t="s">
        <v>69</v>
      </c>
      <c r="E11" s="4" t="s">
        <v>70</v>
      </c>
      <c r="F11" s="5">
        <v>105</v>
      </c>
      <c r="G11" s="17">
        <f t="shared" si="7"/>
        <v>1143</v>
      </c>
      <c r="H11" s="11">
        <f>ROUND(PRODUCT(G11/8),0)</f>
        <v>143</v>
      </c>
      <c r="I11" s="11">
        <f>ROUND(PRODUCT(G11/COUNT(F4:F11)),0)</f>
        <v>143</v>
      </c>
      <c r="J11" s="42">
        <v>0.21944444444444444</v>
      </c>
      <c r="K11" s="21">
        <f t="shared" si="4"/>
        <v>2.6013888888888888</v>
      </c>
      <c r="L11" s="38">
        <f t="shared" si="0"/>
        <v>19.899999999999999</v>
      </c>
      <c r="M11" s="46">
        <v>38.4</v>
      </c>
      <c r="N11" s="42">
        <v>0.26041666666666669</v>
      </c>
      <c r="O11" s="21">
        <f t="shared" si="5"/>
        <v>3.1354166666666665</v>
      </c>
      <c r="P11" s="38">
        <f t="shared" si="1"/>
        <v>16.8</v>
      </c>
      <c r="Q11" s="21">
        <f t="shared" si="2"/>
        <v>4.0972222222222243E-2</v>
      </c>
      <c r="R11" s="21">
        <f t="shared" si="8"/>
        <v>0.53402777777777777</v>
      </c>
      <c r="S11" s="11">
        <v>18</v>
      </c>
      <c r="T11" s="11">
        <v>19</v>
      </c>
      <c r="U11" s="18">
        <f t="shared" si="9"/>
        <v>1</v>
      </c>
      <c r="V11" s="11">
        <v>147</v>
      </c>
      <c r="W11" s="18">
        <f t="shared" si="6"/>
        <v>5852</v>
      </c>
      <c r="X11" s="11">
        <v>148</v>
      </c>
      <c r="Y11" s="18">
        <f t="shared" si="10"/>
        <v>5918</v>
      </c>
      <c r="Z11" s="18">
        <f t="shared" si="3"/>
        <v>-1</v>
      </c>
      <c r="AA11" s="11">
        <v>46</v>
      </c>
      <c r="AB11" s="11">
        <v>4</v>
      </c>
      <c r="AC11" s="11">
        <v>9</v>
      </c>
      <c r="AD11" s="11">
        <v>5</v>
      </c>
      <c r="AE11" s="11">
        <v>8</v>
      </c>
      <c r="AF11" s="11">
        <v>18</v>
      </c>
      <c r="AG11" s="11">
        <v>36</v>
      </c>
      <c r="AH11" s="19">
        <f t="shared" si="11"/>
        <v>18</v>
      </c>
    </row>
    <row r="12" spans="1:34" ht="13">
      <c r="A12" s="6" t="s">
        <v>55</v>
      </c>
      <c r="B12" s="30">
        <v>39053</v>
      </c>
      <c r="C12" s="5" t="s">
        <v>70</v>
      </c>
      <c r="D12" s="6" t="s">
        <v>71</v>
      </c>
      <c r="E12" s="4" t="s">
        <v>72</v>
      </c>
      <c r="F12" s="5">
        <v>104</v>
      </c>
      <c r="G12" s="17">
        <f t="shared" si="7"/>
        <v>1247</v>
      </c>
      <c r="H12" s="11">
        <f>ROUND(PRODUCT(G12/9),0)</f>
        <v>139</v>
      </c>
      <c r="I12" s="11">
        <f>ROUND(PRODUCT(G12/COUNT(F4:F12)),0)</f>
        <v>139</v>
      </c>
      <c r="J12" s="42">
        <v>0.20624999999999999</v>
      </c>
      <c r="K12" s="21">
        <f t="shared" si="4"/>
        <v>2.8076388888888886</v>
      </c>
      <c r="L12" s="38">
        <f t="shared" si="0"/>
        <v>21</v>
      </c>
      <c r="M12" s="46">
        <v>38.1</v>
      </c>
      <c r="N12" s="42">
        <v>0.22916666666666666</v>
      </c>
      <c r="O12" s="21">
        <f t="shared" si="5"/>
        <v>3.364583333333333</v>
      </c>
      <c r="P12" s="38">
        <f t="shared" si="1"/>
        <v>18.899999999999999</v>
      </c>
      <c r="Q12" s="21">
        <f t="shared" si="2"/>
        <v>2.2916666666666669E-2</v>
      </c>
      <c r="R12" s="21">
        <f t="shared" si="8"/>
        <v>0.55694444444444446</v>
      </c>
      <c r="S12" s="11">
        <v>19</v>
      </c>
      <c r="T12" s="11">
        <v>44</v>
      </c>
      <c r="U12" s="18">
        <f t="shared" si="9"/>
        <v>25</v>
      </c>
      <c r="V12" s="11">
        <v>150</v>
      </c>
      <c r="W12" s="18">
        <f t="shared" si="6"/>
        <v>6002</v>
      </c>
      <c r="X12" s="11">
        <v>116</v>
      </c>
      <c r="Y12" s="18">
        <f t="shared" si="10"/>
        <v>6034</v>
      </c>
      <c r="Z12" s="18">
        <f t="shared" si="3"/>
        <v>34</v>
      </c>
      <c r="AA12" s="11">
        <v>77</v>
      </c>
      <c r="AB12" s="11">
        <v>7</v>
      </c>
      <c r="AC12" s="11">
        <v>13</v>
      </c>
      <c r="AD12" s="11">
        <v>4</v>
      </c>
      <c r="AE12" s="11">
        <v>5</v>
      </c>
      <c r="AF12" s="11">
        <v>18</v>
      </c>
      <c r="AG12" s="11">
        <v>32</v>
      </c>
      <c r="AH12" s="19">
        <f t="shared" si="11"/>
        <v>14</v>
      </c>
    </row>
    <row r="13" spans="1:34" ht="13">
      <c r="A13" s="6" t="s">
        <v>5</v>
      </c>
      <c r="B13" s="30">
        <v>39054</v>
      </c>
      <c r="C13" s="5" t="s">
        <v>72</v>
      </c>
      <c r="D13" s="6" t="s">
        <v>73</v>
      </c>
      <c r="E13" s="4" t="s">
        <v>74</v>
      </c>
      <c r="F13" s="5">
        <v>192</v>
      </c>
      <c r="G13" s="17">
        <f t="shared" si="7"/>
        <v>1439</v>
      </c>
      <c r="H13" s="11">
        <f>ROUND(PRODUCT(G13/10),0)</f>
        <v>144</v>
      </c>
      <c r="I13" s="11">
        <f>ROUND(PRODUCT(G13/COUNT(F4:F13)),0)</f>
        <v>144</v>
      </c>
      <c r="J13" s="42">
        <v>0.33750000000000002</v>
      </c>
      <c r="K13" s="21">
        <f t="shared" si="4"/>
        <v>3.1451388888888885</v>
      </c>
      <c r="L13" s="38">
        <f t="shared" si="0"/>
        <v>23.7</v>
      </c>
      <c r="M13" s="46">
        <v>40.1</v>
      </c>
      <c r="N13" s="42">
        <v>0.39583333333333331</v>
      </c>
      <c r="O13" s="21">
        <f t="shared" si="5"/>
        <v>3.7604166666666665</v>
      </c>
      <c r="P13" s="38">
        <f t="shared" si="1"/>
        <v>20.2</v>
      </c>
      <c r="Q13" s="21">
        <f t="shared" si="2"/>
        <v>5.8333333333333293E-2</v>
      </c>
      <c r="R13" s="21">
        <f t="shared" si="8"/>
        <v>0.61527777777777781</v>
      </c>
      <c r="S13" s="11">
        <v>44</v>
      </c>
      <c r="T13" s="11">
        <v>31</v>
      </c>
      <c r="U13" s="18">
        <f t="shared" si="9"/>
        <v>-13</v>
      </c>
      <c r="V13" s="11">
        <v>142</v>
      </c>
      <c r="W13" s="18">
        <f t="shared" si="6"/>
        <v>6144</v>
      </c>
      <c r="X13" s="11">
        <v>159</v>
      </c>
      <c r="Y13" s="18">
        <f t="shared" si="10"/>
        <v>6193</v>
      </c>
      <c r="Z13" s="18">
        <f t="shared" si="3"/>
        <v>-17</v>
      </c>
      <c r="AA13" s="11">
        <v>60</v>
      </c>
      <c r="AB13" s="11">
        <v>5</v>
      </c>
      <c r="AC13" s="11">
        <v>15</v>
      </c>
      <c r="AD13" s="11">
        <v>5</v>
      </c>
      <c r="AE13" s="11">
        <v>11</v>
      </c>
      <c r="AF13" s="11">
        <v>14</v>
      </c>
      <c r="AG13" s="11">
        <v>30</v>
      </c>
      <c r="AH13" s="19">
        <f t="shared" si="11"/>
        <v>16</v>
      </c>
    </row>
    <row r="14" spans="1:34" ht="13">
      <c r="A14" s="6" t="s">
        <v>7</v>
      </c>
      <c r="B14" s="30">
        <v>39055</v>
      </c>
      <c r="C14" s="5" t="s">
        <v>74</v>
      </c>
      <c r="D14" s="6"/>
      <c r="E14" s="4" t="s">
        <v>75</v>
      </c>
      <c r="F14" s="5">
        <v>174</v>
      </c>
      <c r="G14" s="17">
        <f t="shared" si="7"/>
        <v>1613</v>
      </c>
      <c r="H14" s="11">
        <f>ROUND(PRODUCT(G14/11),0)</f>
        <v>147</v>
      </c>
      <c r="I14" s="11">
        <f>ROUND(PRODUCT(G14/COUNT(F4:F14)),0)</f>
        <v>147</v>
      </c>
      <c r="J14" s="42">
        <v>0.34583333333333338</v>
      </c>
      <c r="K14" s="21">
        <f t="shared" si="4"/>
        <v>3.4909722222222217</v>
      </c>
      <c r="L14" s="38">
        <f t="shared" si="0"/>
        <v>21</v>
      </c>
      <c r="M14" s="46">
        <v>42.2</v>
      </c>
      <c r="N14" s="42">
        <v>0.4375</v>
      </c>
      <c r="O14" s="21">
        <f t="shared" si="5"/>
        <v>4.1979166666666661</v>
      </c>
      <c r="P14" s="38">
        <f t="shared" si="1"/>
        <v>16.600000000000001</v>
      </c>
      <c r="Q14" s="21">
        <f t="shared" si="2"/>
        <v>9.1666666666666619E-2</v>
      </c>
      <c r="R14" s="21">
        <f t="shared" si="8"/>
        <v>0.70694444444444438</v>
      </c>
      <c r="S14" s="11">
        <v>31</v>
      </c>
      <c r="T14" s="11">
        <v>92</v>
      </c>
      <c r="U14" s="18">
        <f t="shared" si="9"/>
        <v>61</v>
      </c>
      <c r="V14" s="11">
        <v>221</v>
      </c>
      <c r="W14" s="18">
        <f t="shared" si="6"/>
        <v>6365</v>
      </c>
      <c r="X14" s="11">
        <v>149</v>
      </c>
      <c r="Y14" s="18">
        <f t="shared" si="10"/>
        <v>6342</v>
      </c>
      <c r="Z14" s="18">
        <f t="shared" si="3"/>
        <v>72</v>
      </c>
      <c r="AA14" s="11">
        <v>177</v>
      </c>
      <c r="AB14" s="11">
        <v>3</v>
      </c>
      <c r="AC14" s="11">
        <v>4</v>
      </c>
      <c r="AD14" s="11">
        <v>4</v>
      </c>
      <c r="AE14" s="11">
        <v>6</v>
      </c>
      <c r="AF14" s="11">
        <v>15</v>
      </c>
      <c r="AG14" s="11">
        <v>29</v>
      </c>
      <c r="AH14" s="19">
        <f t="shared" si="11"/>
        <v>14</v>
      </c>
    </row>
    <row r="15" spans="1:34" ht="13">
      <c r="A15" s="6" t="s">
        <v>35</v>
      </c>
      <c r="B15" s="30">
        <v>39056</v>
      </c>
      <c r="C15" s="5" t="s">
        <v>75</v>
      </c>
      <c r="D15" s="6"/>
      <c r="E15" s="4" t="s">
        <v>76</v>
      </c>
      <c r="F15" s="5">
        <v>171</v>
      </c>
      <c r="G15" s="17">
        <f t="shared" si="7"/>
        <v>1784</v>
      </c>
      <c r="H15" s="11">
        <f>ROUND(PRODUCT(G15/12),0)</f>
        <v>149</v>
      </c>
      <c r="I15" s="11">
        <f>ROUND(PRODUCT(G15/COUNT(F4:F15)),0)</f>
        <v>149</v>
      </c>
      <c r="J15" s="42">
        <v>0.29166666666666669</v>
      </c>
      <c r="K15" s="21">
        <f t="shared" si="4"/>
        <v>3.7826388888888882</v>
      </c>
      <c r="L15" s="38">
        <f t="shared" si="0"/>
        <v>24.4</v>
      </c>
      <c r="M15" s="46">
        <v>48.9</v>
      </c>
      <c r="N15" s="42">
        <v>0.39583333333333331</v>
      </c>
      <c r="O15" s="21">
        <f t="shared" si="5"/>
        <v>4.5937499999999991</v>
      </c>
      <c r="P15" s="38">
        <f t="shared" si="1"/>
        <v>18</v>
      </c>
      <c r="Q15" s="21">
        <f t="shared" si="2"/>
        <v>0.10416666666666663</v>
      </c>
      <c r="R15" s="21">
        <f t="shared" si="8"/>
        <v>0.81111111111111101</v>
      </c>
      <c r="S15" s="11">
        <v>92</v>
      </c>
      <c r="T15" s="11">
        <v>43</v>
      </c>
      <c r="U15" s="18">
        <f t="shared" si="9"/>
        <v>-49</v>
      </c>
      <c r="V15" s="11">
        <v>105</v>
      </c>
      <c r="W15" s="18">
        <f t="shared" si="6"/>
        <v>6470</v>
      </c>
      <c r="X15" s="11">
        <v>142</v>
      </c>
      <c r="Y15" s="18">
        <f t="shared" si="10"/>
        <v>6484</v>
      </c>
      <c r="Z15" s="18">
        <f t="shared" si="3"/>
        <v>-37</v>
      </c>
      <c r="AA15" s="11">
        <v>91</v>
      </c>
      <c r="AB15" s="11">
        <v>5</v>
      </c>
      <c r="AC15" s="11">
        <v>8</v>
      </c>
      <c r="AD15" s="11">
        <v>4</v>
      </c>
      <c r="AE15" s="11">
        <v>6</v>
      </c>
      <c r="AF15" s="11">
        <v>15</v>
      </c>
      <c r="AG15" s="11">
        <v>31</v>
      </c>
      <c r="AH15" s="19">
        <f t="shared" si="11"/>
        <v>16</v>
      </c>
    </row>
    <row r="16" spans="1:34" ht="13">
      <c r="A16" s="6" t="s">
        <v>36</v>
      </c>
      <c r="B16" s="30">
        <v>39057</v>
      </c>
      <c r="C16" s="5" t="s">
        <v>76</v>
      </c>
      <c r="D16" s="6"/>
      <c r="E16" s="4" t="s">
        <v>77</v>
      </c>
      <c r="F16" s="5">
        <v>211</v>
      </c>
      <c r="G16" s="17">
        <f t="shared" si="7"/>
        <v>1995</v>
      </c>
      <c r="H16" s="11">
        <f>ROUND(PRODUCT(G16/13),0)</f>
        <v>153</v>
      </c>
      <c r="I16" s="11">
        <f>ROUND(PRODUCT(G16/COUNT(F4:F16)),0)</f>
        <v>153</v>
      </c>
      <c r="J16" s="42">
        <v>0.38819444444444445</v>
      </c>
      <c r="K16" s="21">
        <f t="shared" si="4"/>
        <v>4.1708333333333325</v>
      </c>
      <c r="L16" s="38">
        <f t="shared" si="0"/>
        <v>22.6</v>
      </c>
      <c r="M16" s="46">
        <v>43.4</v>
      </c>
      <c r="N16" s="42">
        <v>0.52083333333333337</v>
      </c>
      <c r="O16" s="21">
        <f t="shared" si="5"/>
        <v>5.1145833333333321</v>
      </c>
      <c r="P16" s="38">
        <f t="shared" si="1"/>
        <v>16.899999999999999</v>
      </c>
      <c r="Q16" s="21">
        <f t="shared" si="2"/>
        <v>0.13263888888888892</v>
      </c>
      <c r="R16" s="21">
        <f t="shared" si="8"/>
        <v>0.94374999999999987</v>
      </c>
      <c r="S16" s="11">
        <v>43</v>
      </c>
      <c r="T16" s="11">
        <v>30</v>
      </c>
      <c r="U16" s="18">
        <f t="shared" si="9"/>
        <v>-13</v>
      </c>
      <c r="V16" s="11">
        <v>234</v>
      </c>
      <c r="W16" s="18">
        <f t="shared" si="6"/>
        <v>6704</v>
      </c>
      <c r="X16" s="11">
        <v>243</v>
      </c>
      <c r="Y16" s="18">
        <f t="shared" si="10"/>
        <v>6727</v>
      </c>
      <c r="Z16" s="18">
        <f t="shared" si="3"/>
        <v>-9</v>
      </c>
      <c r="AA16" s="11">
        <v>47</v>
      </c>
      <c r="AB16" s="11">
        <v>5</v>
      </c>
      <c r="AC16" s="11">
        <v>11</v>
      </c>
      <c r="AD16" s="11">
        <v>3</v>
      </c>
      <c r="AE16" s="11">
        <v>4</v>
      </c>
      <c r="AF16" s="11">
        <v>13</v>
      </c>
      <c r="AG16" s="11">
        <v>31</v>
      </c>
      <c r="AH16" s="19">
        <f t="shared" si="11"/>
        <v>18</v>
      </c>
    </row>
    <row r="17" spans="1:34" ht="13">
      <c r="A17" s="6" t="s">
        <v>37</v>
      </c>
      <c r="B17" s="30">
        <v>39058</v>
      </c>
      <c r="C17" s="5" t="s">
        <v>77</v>
      </c>
      <c r="D17" s="6" t="s">
        <v>78</v>
      </c>
      <c r="E17" s="4" t="s">
        <v>79</v>
      </c>
      <c r="F17" s="5">
        <v>141</v>
      </c>
      <c r="G17" s="17">
        <f t="shared" si="7"/>
        <v>2136</v>
      </c>
      <c r="H17" s="11">
        <f>ROUND(PRODUCT(G17/14),0)</f>
        <v>153</v>
      </c>
      <c r="I17" s="11">
        <f>ROUND(PRODUCT(G17/COUNT(F4:F17)),0)</f>
        <v>153</v>
      </c>
      <c r="J17" s="42">
        <v>0.29375000000000001</v>
      </c>
      <c r="K17" s="21">
        <f t="shared" si="4"/>
        <v>4.4645833333333327</v>
      </c>
      <c r="L17" s="38">
        <f t="shared" si="0"/>
        <v>20</v>
      </c>
      <c r="M17" s="46">
        <v>41.6</v>
      </c>
      <c r="N17" s="42">
        <v>0.39583333333333331</v>
      </c>
      <c r="O17" s="21">
        <f t="shared" si="5"/>
        <v>5.5104166666666652</v>
      </c>
      <c r="P17" s="38">
        <f t="shared" si="1"/>
        <v>14.8</v>
      </c>
      <c r="Q17" s="21">
        <f t="shared" si="2"/>
        <v>0.1020833333333333</v>
      </c>
      <c r="R17" s="21">
        <f t="shared" si="8"/>
        <v>1.0458333333333332</v>
      </c>
      <c r="S17" s="11">
        <v>30</v>
      </c>
      <c r="T17" s="11">
        <v>79</v>
      </c>
      <c r="U17" s="18">
        <f t="shared" si="9"/>
        <v>49</v>
      </c>
      <c r="V17" s="11">
        <v>203</v>
      </c>
      <c r="W17" s="18">
        <f t="shared" si="6"/>
        <v>6907</v>
      </c>
      <c r="X17" s="11">
        <v>159</v>
      </c>
      <c r="Y17" s="18">
        <f t="shared" si="10"/>
        <v>6886</v>
      </c>
      <c r="Z17" s="18">
        <f t="shared" si="3"/>
        <v>44</v>
      </c>
      <c r="AA17" s="11">
        <v>81</v>
      </c>
      <c r="AB17" s="11">
        <v>4</v>
      </c>
      <c r="AC17" s="11">
        <v>8</v>
      </c>
      <c r="AD17" s="11">
        <v>4</v>
      </c>
      <c r="AE17" s="11">
        <v>7</v>
      </c>
      <c r="AF17" s="11">
        <v>15</v>
      </c>
      <c r="AG17" s="11">
        <v>37</v>
      </c>
      <c r="AH17" s="19">
        <f t="shared" si="11"/>
        <v>22</v>
      </c>
    </row>
    <row r="18" spans="1:34" ht="13">
      <c r="A18" s="6" t="s">
        <v>38</v>
      </c>
      <c r="B18" s="30">
        <v>39059</v>
      </c>
      <c r="C18" s="5" t="s">
        <v>79</v>
      </c>
      <c r="D18" s="6"/>
      <c r="E18" s="4" t="s">
        <v>80</v>
      </c>
      <c r="F18" s="5">
        <v>192</v>
      </c>
      <c r="G18" s="17">
        <f t="shared" si="7"/>
        <v>2328</v>
      </c>
      <c r="H18" s="11">
        <f>ROUND(PRODUCT(G18/15),0)</f>
        <v>155</v>
      </c>
      <c r="I18" s="11">
        <f>ROUND(PRODUCT(G18/COUNT(F4:F18)),0)</f>
        <v>155</v>
      </c>
      <c r="J18" s="42">
        <v>0.43472222222222223</v>
      </c>
      <c r="K18" s="21">
        <f t="shared" si="4"/>
        <v>4.8993055555555554</v>
      </c>
      <c r="L18" s="38">
        <f t="shared" si="0"/>
        <v>18.399999999999999</v>
      </c>
      <c r="M18" s="46">
        <v>33.700000000000003</v>
      </c>
      <c r="N18" s="42">
        <v>0.52083333333333337</v>
      </c>
      <c r="O18" s="21">
        <f t="shared" si="5"/>
        <v>6.0312499999999982</v>
      </c>
      <c r="P18" s="38">
        <f t="shared" si="1"/>
        <v>15.4</v>
      </c>
      <c r="Q18" s="21">
        <f t="shared" si="2"/>
        <v>8.6111111111111138E-2</v>
      </c>
      <c r="R18" s="21">
        <f t="shared" si="8"/>
        <v>1.1319444444444442</v>
      </c>
      <c r="S18" s="11">
        <v>79</v>
      </c>
      <c r="T18" s="11">
        <v>97</v>
      </c>
      <c r="U18" s="18">
        <f t="shared" si="9"/>
        <v>18</v>
      </c>
      <c r="V18" s="11">
        <v>161</v>
      </c>
      <c r="W18" s="18">
        <f t="shared" si="6"/>
        <v>7068</v>
      </c>
      <c r="X18" s="11">
        <v>143</v>
      </c>
      <c r="Y18" s="18">
        <f t="shared" si="10"/>
        <v>7029</v>
      </c>
      <c r="Z18" s="18">
        <f t="shared" si="3"/>
        <v>18</v>
      </c>
      <c r="AA18" s="11">
        <v>128</v>
      </c>
      <c r="AB18" s="11">
        <v>4</v>
      </c>
      <c r="AC18" s="11">
        <v>7</v>
      </c>
      <c r="AD18" s="11">
        <v>4</v>
      </c>
      <c r="AE18" s="11">
        <v>6</v>
      </c>
      <c r="AF18" s="11">
        <v>16</v>
      </c>
      <c r="AG18" s="11">
        <v>33</v>
      </c>
      <c r="AH18" s="19">
        <f t="shared" si="11"/>
        <v>17</v>
      </c>
    </row>
    <row r="19" spans="1:34" ht="13">
      <c r="A19" s="6" t="s">
        <v>39</v>
      </c>
      <c r="B19" s="30">
        <v>39060</v>
      </c>
      <c r="C19" s="5" t="s">
        <v>80</v>
      </c>
      <c r="D19" s="6"/>
      <c r="E19" s="4" t="s">
        <v>81</v>
      </c>
      <c r="F19" s="5">
        <v>210</v>
      </c>
      <c r="G19" s="17">
        <f t="shared" si="7"/>
        <v>2538</v>
      </c>
      <c r="H19" s="11">
        <f>ROUND(PRODUCT(G19/16),0)</f>
        <v>159</v>
      </c>
      <c r="I19" s="11">
        <f>ROUND(PRODUCT(G19/COUNT(F4:F19)),0)</f>
        <v>159</v>
      </c>
      <c r="J19" s="42">
        <v>0.41180555555555554</v>
      </c>
      <c r="K19" s="21">
        <f t="shared" si="4"/>
        <v>5.3111111111111109</v>
      </c>
      <c r="L19" s="38">
        <f t="shared" si="0"/>
        <v>21.2</v>
      </c>
      <c r="M19" s="46">
        <v>46.6</v>
      </c>
      <c r="N19" s="42">
        <v>0.5</v>
      </c>
      <c r="O19" s="21">
        <f t="shared" si="5"/>
        <v>6.5312499999999982</v>
      </c>
      <c r="P19" s="38">
        <f t="shared" si="1"/>
        <v>17.5</v>
      </c>
      <c r="Q19" s="21">
        <f t="shared" si="2"/>
        <v>8.8194444444444464E-2</v>
      </c>
      <c r="R19" s="21">
        <f t="shared" si="8"/>
        <v>1.2201388888888887</v>
      </c>
      <c r="S19" s="11">
        <v>97</v>
      </c>
      <c r="T19" s="11">
        <v>82</v>
      </c>
      <c r="U19" s="18">
        <f t="shared" si="9"/>
        <v>-15</v>
      </c>
      <c r="V19" s="11">
        <v>272</v>
      </c>
      <c r="W19" s="18">
        <f t="shared" si="6"/>
        <v>7340</v>
      </c>
      <c r="X19" s="11">
        <v>291</v>
      </c>
      <c r="Y19" s="18">
        <f t="shared" si="10"/>
        <v>7320</v>
      </c>
      <c r="Z19" s="18">
        <f t="shared" si="3"/>
        <v>-19</v>
      </c>
      <c r="AA19" s="11">
        <v>99</v>
      </c>
      <c r="AB19" s="11">
        <v>4</v>
      </c>
      <c r="AC19" s="11">
        <v>10</v>
      </c>
      <c r="AD19" s="11">
        <v>4</v>
      </c>
      <c r="AE19" s="11">
        <v>7</v>
      </c>
      <c r="AF19" s="11">
        <v>16</v>
      </c>
      <c r="AG19" s="11">
        <v>32</v>
      </c>
      <c r="AH19" s="19">
        <f t="shared" si="11"/>
        <v>16</v>
      </c>
    </row>
    <row r="20" spans="1:34" ht="13">
      <c r="A20" s="6" t="s">
        <v>40</v>
      </c>
      <c r="B20" s="30">
        <v>39061</v>
      </c>
      <c r="C20" s="5"/>
      <c r="D20" s="6" t="s">
        <v>81</v>
      </c>
      <c r="E20" s="4"/>
      <c r="F20" s="5"/>
      <c r="G20" s="17">
        <f t="shared" si="7"/>
        <v>2538</v>
      </c>
      <c r="H20" s="11">
        <f>ROUND(PRODUCT(G20/17),0)</f>
        <v>149</v>
      </c>
      <c r="I20" s="11">
        <f>ROUND(PRODUCT(G20/COUNT(F4:F20)),0)</f>
        <v>159</v>
      </c>
      <c r="J20" s="11"/>
      <c r="K20" s="21">
        <f t="shared" si="4"/>
        <v>5.3111111111111109</v>
      </c>
      <c r="L20" s="38">
        <f t="shared" si="0"/>
        <v>0</v>
      </c>
      <c r="M20" s="46"/>
      <c r="N20" s="11"/>
      <c r="O20" s="21">
        <f t="shared" si="5"/>
        <v>6.5312499999999982</v>
      </c>
      <c r="P20" s="38">
        <f t="shared" si="1"/>
        <v>0</v>
      </c>
      <c r="Q20" s="21">
        <f t="shared" si="2"/>
        <v>0</v>
      </c>
      <c r="R20" s="21">
        <f t="shared" si="8"/>
        <v>1.2201388888888887</v>
      </c>
      <c r="S20" s="11">
        <v>82</v>
      </c>
      <c r="T20" s="11">
        <v>36</v>
      </c>
      <c r="U20" s="18">
        <f t="shared" si="9"/>
        <v>-46</v>
      </c>
      <c r="V20" s="11"/>
      <c r="W20" s="18">
        <f t="shared" si="6"/>
        <v>7340</v>
      </c>
      <c r="X20" s="11"/>
      <c r="Y20" s="18">
        <f t="shared" si="10"/>
        <v>7320</v>
      </c>
      <c r="Z20" s="18">
        <f t="shared" si="3"/>
        <v>0</v>
      </c>
      <c r="AA20" s="11">
        <v>82</v>
      </c>
      <c r="AB20" s="11"/>
      <c r="AC20" s="11"/>
      <c r="AD20" s="11"/>
      <c r="AE20" s="11"/>
      <c r="AF20" s="11"/>
      <c r="AG20" s="11"/>
      <c r="AH20" s="19">
        <f t="shared" si="11"/>
        <v>0</v>
      </c>
    </row>
    <row r="21" spans="1:34" ht="13">
      <c r="A21" s="6" t="s">
        <v>41</v>
      </c>
      <c r="B21" s="30">
        <v>39062</v>
      </c>
      <c r="C21" s="5" t="s">
        <v>81</v>
      </c>
      <c r="D21" s="6" t="s">
        <v>82</v>
      </c>
      <c r="E21" s="4" t="s">
        <v>83</v>
      </c>
      <c r="F21" s="5">
        <v>225</v>
      </c>
      <c r="G21" s="17">
        <f t="shared" si="7"/>
        <v>2763</v>
      </c>
      <c r="H21" s="11">
        <f>ROUND(PRODUCT(G21/18),0)</f>
        <v>154</v>
      </c>
      <c r="I21" s="11">
        <f>ROUND(PRODUCT(G21/COUNT(F4:F21)),0)</f>
        <v>163</v>
      </c>
      <c r="J21" s="42">
        <v>0.44027777777777777</v>
      </c>
      <c r="K21" s="21">
        <f t="shared" si="4"/>
        <v>5.7513888888888882</v>
      </c>
      <c r="L21" s="38">
        <f t="shared" si="0"/>
        <v>21.3</v>
      </c>
      <c r="M21" s="46">
        <v>48.4</v>
      </c>
      <c r="N21" s="42">
        <v>0.52777777777777779</v>
      </c>
      <c r="O21" s="21">
        <f t="shared" si="5"/>
        <v>7.0590277777777759</v>
      </c>
      <c r="P21" s="38">
        <f t="shared" si="1"/>
        <v>17.8</v>
      </c>
      <c r="Q21" s="21">
        <f t="shared" si="2"/>
        <v>8.7500000000000022E-2</v>
      </c>
      <c r="R21" s="21">
        <f t="shared" si="8"/>
        <v>1.3076388888888886</v>
      </c>
      <c r="S21" s="11">
        <v>36</v>
      </c>
      <c r="T21" s="11">
        <v>58</v>
      </c>
      <c r="U21" s="18">
        <f t="shared" si="9"/>
        <v>22</v>
      </c>
      <c r="V21" s="11">
        <v>312</v>
      </c>
      <c r="W21" s="18">
        <f t="shared" si="6"/>
        <v>7652</v>
      </c>
      <c r="X21" s="11">
        <v>288</v>
      </c>
      <c r="Y21" s="18">
        <f t="shared" si="10"/>
        <v>7608</v>
      </c>
      <c r="Z21" s="18">
        <f t="shared" si="3"/>
        <v>24</v>
      </c>
      <c r="AA21" s="11">
        <v>84</v>
      </c>
      <c r="AB21" s="11">
        <v>4</v>
      </c>
      <c r="AC21" s="11">
        <v>7</v>
      </c>
      <c r="AD21" s="11">
        <v>4</v>
      </c>
      <c r="AE21" s="11">
        <v>14</v>
      </c>
      <c r="AF21" s="11">
        <v>17</v>
      </c>
      <c r="AG21" s="11">
        <v>27</v>
      </c>
      <c r="AH21" s="19">
        <f t="shared" si="11"/>
        <v>10</v>
      </c>
    </row>
    <row r="22" spans="1:34" ht="13">
      <c r="A22" s="6" t="s">
        <v>42</v>
      </c>
      <c r="B22" s="30">
        <v>39063</v>
      </c>
      <c r="C22" s="5" t="s">
        <v>83</v>
      </c>
      <c r="D22" s="6"/>
      <c r="E22" s="4" t="s">
        <v>84</v>
      </c>
      <c r="F22" s="5">
        <v>110</v>
      </c>
      <c r="G22" s="17">
        <f t="shared" si="7"/>
        <v>2873</v>
      </c>
      <c r="H22" s="11">
        <f>ROUND(PRODUCT(G22/19),0)</f>
        <v>151</v>
      </c>
      <c r="I22" s="11">
        <f>ROUND(PRODUCT(G22/COUNT(F4:F22)),0)</f>
        <v>160</v>
      </c>
      <c r="J22" s="42">
        <v>0.19930555555555554</v>
      </c>
      <c r="K22" s="21">
        <f t="shared" si="4"/>
        <v>5.9506944444444434</v>
      </c>
      <c r="L22" s="38">
        <f t="shared" si="0"/>
        <v>23</v>
      </c>
      <c r="M22" s="46">
        <v>34.700000000000003</v>
      </c>
      <c r="N22" s="42">
        <v>0.27083333333333331</v>
      </c>
      <c r="O22" s="21">
        <f t="shared" si="5"/>
        <v>7.3298611111111089</v>
      </c>
      <c r="P22" s="38">
        <f t="shared" si="1"/>
        <v>16.899999999999999</v>
      </c>
      <c r="Q22" s="21">
        <f t="shared" si="2"/>
        <v>7.1527777777777773E-2</v>
      </c>
      <c r="R22" s="21">
        <f t="shared" si="8"/>
        <v>1.3791666666666664</v>
      </c>
      <c r="S22" s="11">
        <v>58</v>
      </c>
      <c r="T22" s="11">
        <v>79</v>
      </c>
      <c r="U22" s="18">
        <f t="shared" si="9"/>
        <v>21</v>
      </c>
      <c r="V22" s="11">
        <v>41</v>
      </c>
      <c r="W22" s="18">
        <f t="shared" si="6"/>
        <v>7693</v>
      </c>
      <c r="X22" s="11">
        <v>18</v>
      </c>
      <c r="Y22" s="18">
        <f t="shared" si="10"/>
        <v>7626</v>
      </c>
      <c r="Z22" s="18">
        <f t="shared" si="3"/>
        <v>23</v>
      </c>
      <c r="AA22" s="11">
        <v>76</v>
      </c>
      <c r="AB22" s="11">
        <v>3</v>
      </c>
      <c r="AC22" s="11">
        <v>5</v>
      </c>
      <c r="AD22" s="11">
        <v>3</v>
      </c>
      <c r="AE22" s="11">
        <v>6</v>
      </c>
      <c r="AF22" s="11">
        <v>20</v>
      </c>
      <c r="AG22" s="11">
        <v>32</v>
      </c>
      <c r="AH22" s="19">
        <f t="shared" si="11"/>
        <v>12</v>
      </c>
    </row>
    <row r="23" spans="1:34" ht="13">
      <c r="A23" s="39" t="s">
        <v>45</v>
      </c>
      <c r="B23" s="30">
        <v>39064</v>
      </c>
      <c r="C23" s="5" t="s">
        <v>84</v>
      </c>
      <c r="D23" s="6"/>
      <c r="E23" s="4" t="s">
        <v>85</v>
      </c>
      <c r="F23" s="5">
        <v>193</v>
      </c>
      <c r="G23" s="17">
        <f t="shared" si="7"/>
        <v>3066</v>
      </c>
      <c r="H23" s="11">
        <f>ROUND(PRODUCT(G23/20),0)</f>
        <v>153</v>
      </c>
      <c r="I23" s="11">
        <f>ROUND(PRODUCT(G23/COUNT(F4:F23)),0)</f>
        <v>161</v>
      </c>
      <c r="J23" s="42">
        <v>0.3840277777777778</v>
      </c>
      <c r="K23" s="21">
        <f t="shared" si="4"/>
        <v>6.3347222222222213</v>
      </c>
      <c r="L23" s="38">
        <f t="shared" si="0"/>
        <v>20.9</v>
      </c>
      <c r="M23" s="46">
        <v>33.700000000000003</v>
      </c>
      <c r="N23" s="42">
        <v>0.47916666666666669</v>
      </c>
      <c r="O23" s="21">
        <f t="shared" si="5"/>
        <v>7.8090277777777759</v>
      </c>
      <c r="P23" s="38">
        <f t="shared" si="1"/>
        <v>16.8</v>
      </c>
      <c r="Q23" s="21">
        <f t="shared" si="2"/>
        <v>9.5138888888888884E-2</v>
      </c>
      <c r="R23" s="21">
        <f t="shared" si="8"/>
        <v>1.4743055555555553</v>
      </c>
      <c r="S23" s="11">
        <v>79</v>
      </c>
      <c r="T23" s="11">
        <v>50</v>
      </c>
      <c r="U23" s="18">
        <f t="shared" si="9"/>
        <v>-29</v>
      </c>
      <c r="V23" s="11">
        <v>170</v>
      </c>
      <c r="W23" s="18">
        <f t="shared" si="6"/>
        <v>7863</v>
      </c>
      <c r="X23" s="11">
        <v>97</v>
      </c>
      <c r="Y23" s="18">
        <f t="shared" si="10"/>
        <v>7723</v>
      </c>
      <c r="Z23" s="18">
        <f t="shared" si="3"/>
        <v>73</v>
      </c>
      <c r="AA23" s="11">
        <v>170</v>
      </c>
      <c r="AB23" s="11">
        <v>3</v>
      </c>
      <c r="AC23" s="11">
        <v>4</v>
      </c>
      <c r="AD23" s="11">
        <v>4</v>
      </c>
      <c r="AE23" s="11">
        <v>6</v>
      </c>
      <c r="AF23" s="11">
        <v>18</v>
      </c>
      <c r="AG23" s="11">
        <v>29</v>
      </c>
      <c r="AH23" s="19">
        <f t="shared" si="11"/>
        <v>11</v>
      </c>
    </row>
    <row r="24" spans="1:34" ht="13">
      <c r="A24" s="39" t="s">
        <v>46</v>
      </c>
      <c r="B24" s="30">
        <v>39065</v>
      </c>
      <c r="C24" s="5" t="s">
        <v>85</v>
      </c>
      <c r="D24" s="6" t="s">
        <v>86</v>
      </c>
      <c r="E24" s="4" t="s">
        <v>87</v>
      </c>
      <c r="F24" s="5">
        <v>99</v>
      </c>
      <c r="G24" s="17">
        <f t="shared" si="7"/>
        <v>3165</v>
      </c>
      <c r="H24" s="11">
        <f>ROUND(PRODUCT(G24/21),0)</f>
        <v>151</v>
      </c>
      <c r="I24" s="11">
        <f>ROUND(PRODUCT(G24/COUNT(F4:F24)),0)</f>
        <v>158</v>
      </c>
      <c r="J24" s="44">
        <v>0.24166666666666667</v>
      </c>
      <c r="K24" s="21">
        <f t="shared" si="4"/>
        <v>6.5763888888888875</v>
      </c>
      <c r="L24" s="38">
        <f t="shared" si="0"/>
        <v>17.100000000000001</v>
      </c>
      <c r="M24" s="47">
        <v>33.1</v>
      </c>
      <c r="N24" s="44">
        <v>0.3125</v>
      </c>
      <c r="O24" s="21">
        <f t="shared" si="5"/>
        <v>8.121527777777775</v>
      </c>
      <c r="P24" s="38">
        <f t="shared" si="1"/>
        <v>13.2</v>
      </c>
      <c r="Q24" s="21">
        <f t="shared" si="2"/>
        <v>7.0833333333333331E-2</v>
      </c>
      <c r="R24" s="21">
        <f t="shared" si="8"/>
        <v>1.5451388888888886</v>
      </c>
      <c r="S24" s="43">
        <v>50</v>
      </c>
      <c r="T24" s="43">
        <v>3</v>
      </c>
      <c r="U24" s="18">
        <f t="shared" si="9"/>
        <v>-47</v>
      </c>
      <c r="V24" s="43">
        <v>195</v>
      </c>
      <c r="W24" s="18">
        <f t="shared" si="6"/>
        <v>8058</v>
      </c>
      <c r="X24" s="43">
        <v>240</v>
      </c>
      <c r="Y24" s="18">
        <f t="shared" si="10"/>
        <v>7963</v>
      </c>
      <c r="Z24" s="18">
        <f t="shared" si="3"/>
        <v>-45</v>
      </c>
      <c r="AA24" s="43">
        <v>95</v>
      </c>
      <c r="AB24" s="43">
        <v>5</v>
      </c>
      <c r="AC24" s="43">
        <v>9</v>
      </c>
      <c r="AD24" s="43">
        <v>4</v>
      </c>
      <c r="AE24" s="43">
        <v>9</v>
      </c>
      <c r="AF24" s="43">
        <v>22</v>
      </c>
      <c r="AG24" s="43">
        <v>39</v>
      </c>
      <c r="AH24" s="19">
        <f t="shared" si="11"/>
        <v>17</v>
      </c>
    </row>
    <row r="25" spans="1:34" ht="13">
      <c r="A25" s="29" t="s">
        <v>6</v>
      </c>
      <c r="B25" s="56"/>
      <c r="C25" s="57"/>
      <c r="D25" s="57"/>
      <c r="E25" s="58"/>
      <c r="F25" s="31">
        <f>SUM(F4:F24)</f>
        <v>3165</v>
      </c>
      <c r="G25" s="22">
        <f>SUM(G24)</f>
        <v>3165</v>
      </c>
      <c r="H25" s="22">
        <f>SUM(H24)</f>
        <v>151</v>
      </c>
      <c r="I25" s="22">
        <f>SUM(I24)</f>
        <v>158</v>
      </c>
      <c r="J25" s="23">
        <f>SUM(J4:J24)</f>
        <v>6.5763888888888875</v>
      </c>
      <c r="K25" s="34">
        <f>F25/SUM(HOUR(J25)+(ROUNDDOWN(J25,0)*24),PRODUCT(MINUTE(J25)/60))</f>
        <v>20.052798310454065</v>
      </c>
      <c r="L25" s="37">
        <f>SUM(L4:L24)/COUNT(F4:F24)</f>
        <v>20.044999999999998</v>
      </c>
      <c r="M25" s="48">
        <f>PRODUCT(SUM(M4:M24),1/COUNT(M4:M24))</f>
        <v>45.335000000000008</v>
      </c>
      <c r="N25" s="23">
        <f>SUM(N4:N24)</f>
        <v>8.121527777777775</v>
      </c>
      <c r="O25" s="34">
        <f>F25/SUM(HOUR(N25)+(ROUNDDOWN(N25,0)*24),PRODUCT(MINUTE(N25)/60))</f>
        <v>16.237708422402736</v>
      </c>
      <c r="P25" s="37">
        <f>SUM(P4:P24)/COUNT(F4:F24)</f>
        <v>16.224999999999998</v>
      </c>
      <c r="Q25" s="23">
        <f>SUM(Q4:Q24)</f>
        <v>1.5451388888888886</v>
      </c>
      <c r="R25" s="22"/>
      <c r="S25" s="22">
        <f>ROUND(SUM(S4:S24)/COUNT(S4:S24),0)</f>
        <v>55</v>
      </c>
      <c r="T25" s="22">
        <f>ROUND(SUM(T4:T24)/COUNT(T4:T24),0)</f>
        <v>54</v>
      </c>
      <c r="U25" s="24">
        <f>SUM(U4:U24)</f>
        <v>-19</v>
      </c>
      <c r="V25" s="22">
        <f>ROUND(SUM(V4:V24)/COUNT(V4:V24),0)</f>
        <v>403</v>
      </c>
      <c r="W25" s="22">
        <f>SUM(W24)</f>
        <v>8058</v>
      </c>
      <c r="X25" s="22">
        <f>ROUND(SUM(X4:X24)/COUNT(V4:V24),0)</f>
        <v>398</v>
      </c>
      <c r="Y25" s="22">
        <f>SUM(Y24)</f>
        <v>7963</v>
      </c>
      <c r="Z25" s="24">
        <f>SUM(Z4:Z24)</f>
        <v>95</v>
      </c>
      <c r="AA25" s="22">
        <f>ROUND(SUM(AA4:AA24)/COUNT(AA4:AA24),0)</f>
        <v>166</v>
      </c>
      <c r="AB25" s="33">
        <f t="shared" ref="AB25:AG25" si="12">SUM(AB4:AB24)/COUNT(AB4:AB24)</f>
        <v>4.5</v>
      </c>
      <c r="AC25" s="33">
        <f t="shared" si="12"/>
        <v>9.5</v>
      </c>
      <c r="AD25" s="33">
        <f t="shared" si="12"/>
        <v>4.25</v>
      </c>
      <c r="AE25" s="33">
        <f t="shared" si="12"/>
        <v>8.75</v>
      </c>
      <c r="AF25" s="33">
        <f t="shared" si="12"/>
        <v>16.149999999999999</v>
      </c>
      <c r="AG25" s="33">
        <f t="shared" si="12"/>
        <v>31.25</v>
      </c>
      <c r="AH25" s="33">
        <f>SUM(AH4:AH24)/COUNT(AG4:AG24)</f>
        <v>15.1</v>
      </c>
    </row>
    <row r="26" spans="1:34" ht="13">
      <c r="Q26" s="11"/>
      <c r="R26" s="11"/>
      <c r="S26" s="11"/>
      <c r="W26" s="18"/>
      <c r="Y26" s="18"/>
    </row>
    <row r="27" spans="1:34" ht="13">
      <c r="O27" s="11"/>
      <c r="P27" s="11"/>
      <c r="Q27" s="11"/>
      <c r="R27" s="32"/>
      <c r="S27" s="11"/>
      <c r="T27" s="11"/>
      <c r="U27" s="11"/>
      <c r="V27" s="11"/>
      <c r="W27" s="18"/>
      <c r="X27" s="11"/>
      <c r="Y27" s="18"/>
      <c r="Z27" s="11"/>
      <c r="AA27" s="11"/>
    </row>
    <row r="28" spans="1:34" ht="13">
      <c r="N28" s="36"/>
      <c r="O28" s="11"/>
      <c r="P28" s="11"/>
      <c r="Q28" s="35"/>
      <c r="R28" s="35"/>
      <c r="S28" s="11"/>
      <c r="T28" s="11"/>
      <c r="U28" s="11"/>
      <c r="V28" s="11"/>
      <c r="W28" s="11"/>
      <c r="X28" s="11"/>
      <c r="Y28" s="11"/>
      <c r="Z28" s="11"/>
      <c r="AA28" s="11"/>
    </row>
    <row r="29" spans="1:34" ht="13">
      <c r="O29" s="11"/>
      <c r="P29" s="11"/>
      <c r="Q29" s="35"/>
      <c r="R29" s="35"/>
      <c r="S29" s="11"/>
      <c r="T29" s="11"/>
      <c r="U29" s="11"/>
      <c r="V29" s="11"/>
      <c r="W29" s="11"/>
      <c r="X29" s="11"/>
      <c r="Y29" s="11"/>
      <c r="Z29" s="11"/>
      <c r="AA29" s="11"/>
    </row>
    <row r="30" spans="1:34" ht="13">
      <c r="O30" s="11"/>
      <c r="P30" s="11"/>
      <c r="Q30" s="11"/>
      <c r="R30" s="35"/>
      <c r="S30" s="11"/>
      <c r="T30" s="11"/>
      <c r="U30" s="11"/>
      <c r="V30" s="11"/>
      <c r="W30" s="11"/>
      <c r="X30" s="11"/>
      <c r="Y30" s="11"/>
      <c r="Z30" s="11"/>
      <c r="AA30" s="11"/>
    </row>
    <row r="31" spans="1:34"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</sheetData>
  <mergeCells count="4">
    <mergeCell ref="A1:F1"/>
    <mergeCell ref="A2:F2"/>
    <mergeCell ref="G1:AH1"/>
    <mergeCell ref="B25:E25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6438-A646-4A32-800B-304E696498FD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683E-C3F1-48C7-A01F-E9277CDE5CC4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2025-11-12T20:07:53Z</dcterms:modified>
</cp:coreProperties>
</file>