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BF300A7D-85A6-4234-823A-9EDA7F1CB6CA}" xr6:coauthVersionLast="47" xr6:coauthVersionMax="47" xr10:uidLastSave="{00000000-0000-0000-0000-000000000000}"/>
  <bookViews>
    <workbookView xWindow="-110" yWindow="-110" windowWidth="19420" windowHeight="10420" xr2:uid="{6C522CDC-6A96-4CDA-ABB0-D6A307E651D7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I4" i="1"/>
  <c r="K4" i="1"/>
  <c r="L4" i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P4" i="1"/>
  <c r="P19" i="1" s="1"/>
  <c r="Q4" i="1"/>
  <c r="R4" i="1" s="1"/>
  <c r="R5" i="1" s="1"/>
  <c r="R6" i="1" s="1"/>
  <c r="R7" i="1" s="1"/>
  <c r="U4" i="1"/>
  <c r="W4" i="1"/>
  <c r="W5" i="1" s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Y4" i="1"/>
  <c r="Z4" i="1"/>
  <c r="AH4" i="1"/>
  <c r="G5" i="1"/>
  <c r="I5" i="1" s="1"/>
  <c r="H5" i="1"/>
  <c r="K5" i="1"/>
  <c r="L5" i="1"/>
  <c r="P5" i="1"/>
  <c r="Q5" i="1"/>
  <c r="U5" i="1"/>
  <c r="U19" i="1" s="1"/>
  <c r="Y5" i="1"/>
  <c r="Z5" i="1"/>
  <c r="AH5" i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L6" i="1"/>
  <c r="P6" i="1"/>
  <c r="Q6" i="1"/>
  <c r="U6" i="1"/>
  <c r="Y6" i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Z6" i="1"/>
  <c r="AH6" i="1"/>
  <c r="L7" i="1"/>
  <c r="L19" i="1" s="1"/>
  <c r="P7" i="1"/>
  <c r="Q7" i="1"/>
  <c r="U7" i="1"/>
  <c r="Z7" i="1"/>
  <c r="Z19" i="1" s="1"/>
  <c r="AH7" i="1"/>
  <c r="AH19" i="1" s="1"/>
  <c r="L8" i="1"/>
  <c r="P8" i="1"/>
  <c r="Q8" i="1"/>
  <c r="U8" i="1"/>
  <c r="Z8" i="1"/>
  <c r="AH8" i="1"/>
  <c r="L9" i="1"/>
  <c r="P9" i="1"/>
  <c r="Q9" i="1"/>
  <c r="U9" i="1"/>
  <c r="Z9" i="1"/>
  <c r="AH9" i="1"/>
  <c r="L10" i="1"/>
  <c r="P10" i="1"/>
  <c r="Q10" i="1"/>
  <c r="U10" i="1"/>
  <c r="Z10" i="1"/>
  <c r="AH10" i="1"/>
  <c r="L11" i="1"/>
  <c r="P11" i="1"/>
  <c r="Q11" i="1"/>
  <c r="U11" i="1"/>
  <c r="Z11" i="1"/>
  <c r="AH11" i="1"/>
  <c r="L12" i="1"/>
  <c r="P12" i="1"/>
  <c r="Q12" i="1"/>
  <c r="U12" i="1"/>
  <c r="Z12" i="1"/>
  <c r="AH12" i="1"/>
  <c r="L13" i="1"/>
  <c r="P13" i="1"/>
  <c r="Q13" i="1"/>
  <c r="U13" i="1"/>
  <c r="Z13" i="1"/>
  <c r="AH13" i="1"/>
  <c r="L14" i="1"/>
  <c r="P14" i="1"/>
  <c r="Q14" i="1"/>
  <c r="U14" i="1"/>
  <c r="Z14" i="1"/>
  <c r="AH14" i="1"/>
  <c r="L15" i="1"/>
  <c r="P15" i="1"/>
  <c r="Q15" i="1"/>
  <c r="U15" i="1"/>
  <c r="Z15" i="1"/>
  <c r="AH15" i="1"/>
  <c r="L16" i="1"/>
  <c r="P16" i="1"/>
  <c r="Q16" i="1"/>
  <c r="U16" i="1"/>
  <c r="Z16" i="1"/>
  <c r="AH16" i="1"/>
  <c r="L17" i="1"/>
  <c r="P17" i="1"/>
  <c r="Q17" i="1"/>
  <c r="U17" i="1"/>
  <c r="Z17" i="1"/>
  <c r="AH17" i="1"/>
  <c r="L18" i="1"/>
  <c r="P18" i="1"/>
  <c r="Q18" i="1"/>
  <c r="U18" i="1"/>
  <c r="Z18" i="1"/>
  <c r="AH18" i="1"/>
  <c r="F19" i="1"/>
  <c r="O19" i="1" s="1"/>
  <c r="J19" i="1"/>
  <c r="K19" i="1"/>
  <c r="M19" i="1"/>
  <c r="N19" i="1"/>
  <c r="S19" i="1"/>
  <c r="T19" i="1"/>
  <c r="V19" i="1"/>
  <c r="X19" i="1"/>
  <c r="AA19" i="1"/>
  <c r="AB19" i="1"/>
  <c r="AC19" i="1"/>
  <c r="AD19" i="1"/>
  <c r="AE19" i="1"/>
  <c r="AF19" i="1"/>
  <c r="AG19" i="1"/>
  <c r="R8" i="1" l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G6" i="1"/>
  <c r="Q19" i="1"/>
  <c r="H6" i="1" l="1"/>
  <c r="I6" i="1"/>
  <c r="G7" i="1"/>
  <c r="G8" i="1" l="1"/>
  <c r="H7" i="1"/>
  <c r="I7" i="1"/>
  <c r="G9" i="1" l="1"/>
  <c r="H8" i="1"/>
  <c r="I8" i="1"/>
  <c r="I9" i="1" l="1"/>
  <c r="H9" i="1"/>
  <c r="G10" i="1"/>
  <c r="G11" i="1" l="1"/>
  <c r="I10" i="1"/>
  <c r="H10" i="1"/>
  <c r="G12" i="1" l="1"/>
  <c r="H11" i="1"/>
  <c r="I11" i="1"/>
  <c r="G13" i="1" l="1"/>
  <c r="H12" i="1"/>
  <c r="I12" i="1"/>
  <c r="I13" i="1" l="1"/>
  <c r="G14" i="1"/>
  <c r="H13" i="1"/>
  <c r="I14" i="1" l="1"/>
  <c r="G15" i="1"/>
  <c r="H14" i="1"/>
  <c r="G16" i="1" l="1"/>
  <c r="H15" i="1"/>
  <c r="I15" i="1"/>
  <c r="H16" i="1" l="1"/>
  <c r="I16" i="1"/>
  <c r="G17" i="1"/>
  <c r="I17" i="1" l="1"/>
  <c r="H17" i="1"/>
  <c r="G18" i="1"/>
  <c r="H18" i="1" l="1"/>
  <c r="H19" i="1" s="1"/>
  <c r="I18" i="1"/>
  <c r="I19" i="1" s="1"/>
  <c r="G19" i="1"/>
</calcChain>
</file>

<file path=xl/sharedStrings.xml><?xml version="1.0" encoding="utf-8"?>
<sst xmlns="http://schemas.openxmlformats.org/spreadsheetml/2006/main" count="95" uniqueCount="81">
  <si>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</si>
  <si>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</si>
  <si>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</si>
  <si>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</si>
  <si>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</si>
  <si>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</si>
  <si>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</si>
  <si>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</si>
  <si>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</si>
  <si>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</si>
  <si>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</si>
  <si>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</si>
  <si>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</si>
  <si>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</si>
  <si>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</si>
  <si>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</si>
  <si>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</si>
  <si>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</si>
  <si>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</si>
  <si>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</si>
  <si>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</si>
  <si>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</si>
  <si>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</si>
  <si>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</si>
  <si>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</si>
  <si>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</si>
  <si>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</si>
  <si>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</si>
  <si>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</si>
  <si>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</si>
  <si>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</si>
  <si>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</si>
  <si>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</si>
  <si>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</si>
  <si>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</si>
  <si>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</si>
  <si>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</si>
  <si>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</si>
  <si>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</si>
  <si>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</si>
  <si>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</si>
  <si>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</si>
  <si>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</si>
  <si>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</si>
  <si>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</si>
  <si>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</si>
  <si>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</si>
  <si>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</si>
  <si>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</si>
  <si>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</si>
  <si>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Feldkirch - Liechtenstein - San Marino - Monaco - Nizza (14.-28.4.2007)</t>
  </si>
  <si>
    <r>
      <t>Statistik</t>
    </r>
    <r>
      <rPr>
        <b/>
        <sz val="20"/>
        <rFont val="Arial"/>
        <family val="2"/>
      </rPr>
      <t xml:space="preserve"> Feldkirch - Liechtenstein - San Marino - Monaco - Nizza (14.-28.4.2007)</t>
    </r>
  </si>
  <si>
    <t>Feldkirch</t>
  </si>
  <si>
    <t>Grenze Österreich/Liechtenstein</t>
  </si>
  <si>
    <t>Vaduz</t>
  </si>
  <si>
    <t>Grenze Liechtenstein/Schweiz - Chur - Lenzerheide-Pass (1549 m)</t>
  </si>
  <si>
    <t>Savognin</t>
  </si>
  <si>
    <t>Julier-Pass (2284 m) - St. Moritz - Bernina-Pass (2328 m) - Grenze Schweiz/Italien</t>
  </si>
  <si>
    <t>Tirano</t>
  </si>
  <si>
    <t>Passo Aprica (1175 m) - Edolo</t>
  </si>
  <si>
    <t>Sulzano (Lago d'Iseo)</t>
  </si>
  <si>
    <t>Asola - Mantua</t>
  </si>
  <si>
    <t>Bagnolo San Vito</t>
  </si>
  <si>
    <t>Po-Radweg - Bondeno - Kanal-Burana-Radweg</t>
  </si>
  <si>
    <t>Ferrara</t>
  </si>
  <si>
    <t>Ravenna</t>
  </si>
  <si>
    <t>Cervia-Tagliata</t>
  </si>
  <si>
    <t>Grenzen Italien/San Marino/Italien - Passo di Viamaggio (983 m)</t>
  </si>
  <si>
    <t>Sansepolcro</t>
  </si>
  <si>
    <t>Laterina - Pianella</t>
  </si>
  <si>
    <t>Siena</t>
  </si>
  <si>
    <t>San Gimignano - Castelfalfi</t>
  </si>
  <si>
    <t>Pisa</t>
  </si>
  <si>
    <t>Montemarcello - La Spezia - Manarola - Corniglia</t>
  </si>
  <si>
    <t>Vernazza</t>
  </si>
  <si>
    <t>Levanto - Valico Guaitarola (617 m) - Passo del Bracco (615 m)</t>
  </si>
  <si>
    <t>Genua</t>
  </si>
  <si>
    <t>Imperia</t>
  </si>
  <si>
    <t>Arma di Taggia</t>
  </si>
  <si>
    <t>Grenzen Italien/Frankreich/Monaco/Frankreich</t>
  </si>
  <si>
    <t>Nizza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</si>
</sst>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20" fontId="0" fillId="0" borderId="3" xfId="0" applyNumberFormat="1" applyBorder="1"/>
    <xf numFmtId="20" fontId="0" fillId="0" borderId="0" xfId="0" applyNumberFormat="1" applyBorder="1"/>
    <xf numFmtId="180" fontId="8" fillId="0" borderId="0" xfId="0" applyNumberFormat="1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10EAA-42B6-411C-BB58-192F544BA16E}">
  <sheetPr codeName="Tabelle1"/>
  <dimension ref="A1:AH25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51" t="s">
        <v>50</v>
      </c>
      <c r="B1" s="52"/>
      <c r="C1" s="52"/>
      <c r="D1" s="52"/>
      <c r="E1" s="52"/>
      <c r="F1" s="53"/>
      <c r="G1" s="55" t="s">
        <v>51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7"/>
    </row>
    <row r="2" spans="1:34">
      <c r="A2" s="54"/>
      <c r="B2" s="54"/>
      <c r="C2" s="54"/>
      <c r="D2" s="54"/>
      <c r="E2" s="54"/>
      <c r="F2" s="54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5" t="s">
        <v>26</v>
      </c>
      <c r="H3" s="25" t="s">
        <v>23</v>
      </c>
      <c r="I3" s="25" t="s">
        <v>24</v>
      </c>
      <c r="J3" s="25" t="s">
        <v>8</v>
      </c>
      <c r="K3" s="26" t="s">
        <v>32</v>
      </c>
      <c r="L3" s="25" t="s">
        <v>40</v>
      </c>
      <c r="M3" s="25" t="s">
        <v>25</v>
      </c>
      <c r="N3" s="25" t="s">
        <v>14</v>
      </c>
      <c r="O3" s="26" t="s">
        <v>33</v>
      </c>
      <c r="P3" s="25" t="s">
        <v>39</v>
      </c>
      <c r="Q3" s="25" t="s">
        <v>15</v>
      </c>
      <c r="R3" s="26" t="s">
        <v>34</v>
      </c>
      <c r="S3" s="25" t="s">
        <v>9</v>
      </c>
      <c r="T3" s="25" t="s">
        <v>10</v>
      </c>
      <c r="U3" s="25" t="s">
        <v>31</v>
      </c>
      <c r="V3" s="25" t="s">
        <v>12</v>
      </c>
      <c r="W3" s="26" t="s">
        <v>27</v>
      </c>
      <c r="X3" s="25" t="s">
        <v>13</v>
      </c>
      <c r="Y3" s="26" t="s">
        <v>29</v>
      </c>
      <c r="Z3" s="26" t="s">
        <v>30</v>
      </c>
      <c r="AA3" s="25" t="s">
        <v>11</v>
      </c>
      <c r="AB3" s="27" t="s">
        <v>18</v>
      </c>
      <c r="AC3" s="27" t="s">
        <v>19</v>
      </c>
      <c r="AD3" s="27" t="s">
        <v>20</v>
      </c>
      <c r="AE3" s="27" t="s">
        <v>21</v>
      </c>
      <c r="AF3" s="28" t="s">
        <v>17</v>
      </c>
      <c r="AG3" s="28" t="s">
        <v>16</v>
      </c>
      <c r="AH3" s="28" t="s">
        <v>28</v>
      </c>
    </row>
    <row r="4" spans="1:34" ht="13">
      <c r="A4" s="41" t="s">
        <v>41</v>
      </c>
      <c r="B4" s="32">
        <v>39186</v>
      </c>
      <c r="C4" s="5" t="s">
        <v>52</v>
      </c>
      <c r="D4" s="6" t="s">
        <v>53</v>
      </c>
      <c r="E4" s="4" t="s">
        <v>54</v>
      </c>
      <c r="F4" s="5">
        <v>19</v>
      </c>
      <c r="G4" s="13">
        <f>SUM(F4)</f>
        <v>19</v>
      </c>
      <c r="H4" s="14">
        <f>ROUND(PRODUCT(G4/1),0)</f>
        <v>19</v>
      </c>
      <c r="I4" s="14">
        <f>ROUND(PRODUCT(G4/COUNT(F4:F4)),0)</f>
        <v>19</v>
      </c>
      <c r="J4" s="44">
        <v>5.5555555555555552E-2</v>
      </c>
      <c r="K4" s="20">
        <f>SUM(J4)</f>
        <v>5.5555555555555552E-2</v>
      </c>
      <c r="L4" s="46">
        <f t="shared" ref="L4:L18" si="0">IF(F4=0,0,ROUND(PRODUCT(F4/SUM(HOUR(J4),PRODUCT(MINUTE(J4)/60))),1))</f>
        <v>14.3</v>
      </c>
      <c r="M4" s="47">
        <v>40.1</v>
      </c>
      <c r="N4" s="44">
        <v>0.125</v>
      </c>
      <c r="O4" s="20">
        <f>SUM(N4)</f>
        <v>0.125</v>
      </c>
      <c r="P4" s="46">
        <f t="shared" ref="P4:P18" si="1">IF(F4=0,0,ROUND(PRODUCT(F4/SUM(HOUR(N4),PRODUCT(MINUTE(N4)/60))),1))</f>
        <v>6.3</v>
      </c>
      <c r="Q4" s="20">
        <f t="shared" ref="Q4:Q18" si="2">SUM(N4,-J4)</f>
        <v>6.9444444444444448E-2</v>
      </c>
      <c r="R4" s="20">
        <f>SUM(Q4)</f>
        <v>6.9444444444444448E-2</v>
      </c>
      <c r="S4" s="14">
        <v>439</v>
      </c>
      <c r="T4" s="11">
        <v>464</v>
      </c>
      <c r="U4" s="15">
        <f>SUM(-S4,T4)</f>
        <v>25</v>
      </c>
      <c r="V4" s="14">
        <v>210</v>
      </c>
      <c r="W4" s="15">
        <f>SUM(V4)</f>
        <v>210</v>
      </c>
      <c r="X4" s="14">
        <v>152</v>
      </c>
      <c r="Y4" s="15">
        <f>SUM(X4)</f>
        <v>152</v>
      </c>
      <c r="Z4" s="15">
        <f t="shared" ref="Z4:Z18" si="3">SUM(V4,-X4)</f>
        <v>58</v>
      </c>
      <c r="AA4" s="14">
        <v>523</v>
      </c>
      <c r="AB4" s="14">
        <v>5</v>
      </c>
      <c r="AC4" s="14">
        <v>19</v>
      </c>
      <c r="AD4" s="14">
        <v>6</v>
      </c>
      <c r="AE4" s="14">
        <v>26</v>
      </c>
      <c r="AF4" s="14">
        <v>18</v>
      </c>
      <c r="AG4" s="14">
        <v>29</v>
      </c>
      <c r="AH4" s="16">
        <f>SUM(AG4,-AF4)</f>
        <v>11</v>
      </c>
    </row>
    <row r="5" spans="1:34" ht="13">
      <c r="A5" s="41" t="s">
        <v>42</v>
      </c>
      <c r="B5" s="32">
        <v>39187</v>
      </c>
      <c r="C5" s="5" t="s">
        <v>54</v>
      </c>
      <c r="D5" s="6" t="s">
        <v>55</v>
      </c>
      <c r="E5" s="4" t="s">
        <v>56</v>
      </c>
      <c r="F5" s="5">
        <v>84</v>
      </c>
      <c r="G5" s="17">
        <f>SUM(G4,F5)</f>
        <v>103</v>
      </c>
      <c r="H5" s="11">
        <f>ROUND(PRODUCT(G5/2),0)</f>
        <v>52</v>
      </c>
      <c r="I5" s="11">
        <f>ROUND(PRODUCT(G5/COUNT(F4:F5)),0)</f>
        <v>52</v>
      </c>
      <c r="J5" s="45">
        <v>0.2638888888888889</v>
      </c>
      <c r="K5" s="21">
        <f t="shared" ref="K5:K18" si="4">SUM(J5,K4)</f>
        <v>0.31944444444444442</v>
      </c>
      <c r="L5" s="46">
        <f t="shared" si="0"/>
        <v>13.3</v>
      </c>
      <c r="M5" s="48">
        <v>70</v>
      </c>
      <c r="N5" s="45">
        <v>0.35416666666666669</v>
      </c>
      <c r="O5" s="21">
        <f t="shared" ref="O5:O18" si="5">SUM(N5,O4)</f>
        <v>0.47916666666666669</v>
      </c>
      <c r="P5" s="46">
        <f t="shared" si="1"/>
        <v>9.9</v>
      </c>
      <c r="Q5" s="21">
        <f t="shared" si="2"/>
        <v>9.027777777777779E-2</v>
      </c>
      <c r="R5" s="21">
        <f>SUM(Q5,R4)</f>
        <v>0.15972222222222224</v>
      </c>
      <c r="S5" s="11">
        <v>464</v>
      </c>
      <c r="T5" s="11">
        <v>1174</v>
      </c>
      <c r="U5" s="18">
        <f>SUM(-S5,T5)</f>
        <v>710</v>
      </c>
      <c r="V5" s="29">
        <v>1709</v>
      </c>
      <c r="W5" s="18">
        <f t="shared" ref="W5:W18" si="6">SUM(W4,V5)</f>
        <v>1919</v>
      </c>
      <c r="X5" s="11">
        <v>982</v>
      </c>
      <c r="Y5" s="18">
        <f>SUM(Y4,X5)</f>
        <v>1134</v>
      </c>
      <c r="Z5" s="18">
        <f t="shared" si="3"/>
        <v>727</v>
      </c>
      <c r="AA5" s="11">
        <v>1549</v>
      </c>
      <c r="AB5" s="11">
        <v>7</v>
      </c>
      <c r="AC5" s="30">
        <v>18</v>
      </c>
      <c r="AD5" s="29">
        <v>7</v>
      </c>
      <c r="AE5" s="30">
        <v>12</v>
      </c>
      <c r="AF5" s="30">
        <v>19</v>
      </c>
      <c r="AG5" s="30">
        <v>31</v>
      </c>
      <c r="AH5" s="19">
        <f>SUM(AG5,-AF5)</f>
        <v>12</v>
      </c>
    </row>
    <row r="6" spans="1:34" ht="25.5">
      <c r="A6" s="41" t="s">
        <v>43</v>
      </c>
      <c r="B6" s="42">
        <v>39188</v>
      </c>
      <c r="C6" s="43" t="s">
        <v>56</v>
      </c>
      <c r="D6" s="6" t="s">
        <v>57</v>
      </c>
      <c r="E6" s="4" t="s">
        <v>58</v>
      </c>
      <c r="F6" s="5">
        <v>100</v>
      </c>
      <c r="G6" s="17">
        <f t="shared" ref="G6:G18" si="7">SUM(G5,F6)</f>
        <v>203</v>
      </c>
      <c r="H6" s="11">
        <f>ROUND(PRODUCT(G6/3),0)</f>
        <v>68</v>
      </c>
      <c r="I6" s="11">
        <f>ROUND(PRODUCT(G6/COUNT(F4:F6)),0)</f>
        <v>68</v>
      </c>
      <c r="J6" s="45">
        <v>0.29166666666666669</v>
      </c>
      <c r="K6" s="21">
        <f t="shared" si="4"/>
        <v>0.61111111111111116</v>
      </c>
      <c r="L6" s="46">
        <f t="shared" si="0"/>
        <v>14.3</v>
      </c>
      <c r="M6" s="48">
        <v>64.5</v>
      </c>
      <c r="N6" s="45">
        <v>0.40277777777777773</v>
      </c>
      <c r="O6" s="21">
        <f t="shared" si="5"/>
        <v>0.88194444444444442</v>
      </c>
      <c r="P6" s="46">
        <f t="shared" si="1"/>
        <v>10.3</v>
      </c>
      <c r="Q6" s="21">
        <f t="shared" si="2"/>
        <v>0.11111111111111105</v>
      </c>
      <c r="R6" s="21">
        <f t="shared" ref="R6:R18" si="8">SUM(Q6,R5)</f>
        <v>0.27083333333333326</v>
      </c>
      <c r="S6" s="11">
        <v>1174</v>
      </c>
      <c r="T6" s="29">
        <v>476</v>
      </c>
      <c r="U6" s="18">
        <f t="shared" ref="U6:U18" si="9">SUM(-S6,T6)</f>
        <v>-698</v>
      </c>
      <c r="V6" s="29">
        <v>1799</v>
      </c>
      <c r="W6" s="18">
        <f t="shared" si="6"/>
        <v>3718</v>
      </c>
      <c r="X6" s="11">
        <v>2503</v>
      </c>
      <c r="Y6" s="18">
        <f t="shared" ref="Y6:Y18" si="10">SUM(Y5,X6)</f>
        <v>3637</v>
      </c>
      <c r="Z6" s="18">
        <f t="shared" si="3"/>
        <v>-704</v>
      </c>
      <c r="AA6" s="11">
        <v>2328</v>
      </c>
      <c r="AB6" s="11">
        <v>7</v>
      </c>
      <c r="AC6" s="30">
        <v>20</v>
      </c>
      <c r="AD6" s="29">
        <v>7</v>
      </c>
      <c r="AE6" s="30">
        <v>22</v>
      </c>
      <c r="AF6" s="30">
        <v>12</v>
      </c>
      <c r="AG6" s="30">
        <v>47</v>
      </c>
      <c r="AH6" s="19">
        <f t="shared" ref="AH6:AH18" si="11">SUM(AG6,-AF6)</f>
        <v>35</v>
      </c>
    </row>
    <row r="7" spans="1:34" ht="13">
      <c r="A7" s="41" t="s">
        <v>44</v>
      </c>
      <c r="B7" s="32">
        <v>39189</v>
      </c>
      <c r="C7" s="5" t="s">
        <v>58</v>
      </c>
      <c r="D7" s="6" t="s">
        <v>59</v>
      </c>
      <c r="E7" s="4" t="s">
        <v>60</v>
      </c>
      <c r="F7" s="5">
        <v>110</v>
      </c>
      <c r="G7" s="17">
        <f t="shared" si="7"/>
        <v>313</v>
      </c>
      <c r="H7" s="11">
        <f>ROUND(PRODUCT(G7/4),0)</f>
        <v>78</v>
      </c>
      <c r="I7" s="11">
        <f>ROUND(PRODUCT(G7/COUNT(F4:F7)),0)</f>
        <v>78</v>
      </c>
      <c r="J7" s="45">
        <v>0.28611111111111115</v>
      </c>
      <c r="K7" s="21">
        <f t="shared" si="4"/>
        <v>0.89722222222222237</v>
      </c>
      <c r="L7" s="46">
        <f t="shared" si="0"/>
        <v>16</v>
      </c>
      <c r="M7" s="49">
        <v>46.1</v>
      </c>
      <c r="N7" s="45">
        <v>0.35416666666666669</v>
      </c>
      <c r="O7" s="21">
        <f t="shared" si="5"/>
        <v>1.2361111111111112</v>
      </c>
      <c r="P7" s="46">
        <f t="shared" si="1"/>
        <v>12.9</v>
      </c>
      <c r="Q7" s="21">
        <f t="shared" si="2"/>
        <v>6.8055555555555536E-2</v>
      </c>
      <c r="R7" s="21">
        <f t="shared" si="8"/>
        <v>0.3388888888888888</v>
      </c>
      <c r="S7" s="29">
        <v>476</v>
      </c>
      <c r="T7" s="29">
        <v>190</v>
      </c>
      <c r="U7" s="18">
        <f t="shared" si="9"/>
        <v>-286</v>
      </c>
      <c r="V7" s="29">
        <v>923</v>
      </c>
      <c r="W7" s="18">
        <f t="shared" si="6"/>
        <v>4641</v>
      </c>
      <c r="X7" s="29">
        <v>1153</v>
      </c>
      <c r="Y7" s="18">
        <f t="shared" si="10"/>
        <v>4790</v>
      </c>
      <c r="Z7" s="18">
        <f t="shared" si="3"/>
        <v>-230</v>
      </c>
      <c r="AA7" s="29">
        <v>1178</v>
      </c>
      <c r="AB7" s="29">
        <v>6</v>
      </c>
      <c r="AC7" s="30">
        <v>15</v>
      </c>
      <c r="AD7" s="29">
        <v>5</v>
      </c>
      <c r="AE7" s="30">
        <v>18</v>
      </c>
      <c r="AF7" s="30">
        <v>15</v>
      </c>
      <c r="AG7" s="30">
        <v>37</v>
      </c>
      <c r="AH7" s="19">
        <f t="shared" si="11"/>
        <v>22</v>
      </c>
    </row>
    <row r="8" spans="1:34" ht="13">
      <c r="A8" s="41" t="s">
        <v>45</v>
      </c>
      <c r="B8" s="32">
        <v>39190</v>
      </c>
      <c r="C8" s="5" t="s">
        <v>60</v>
      </c>
      <c r="D8" s="6" t="s">
        <v>61</v>
      </c>
      <c r="E8" s="4" t="s">
        <v>62</v>
      </c>
      <c r="F8" s="5">
        <v>137</v>
      </c>
      <c r="G8" s="17">
        <f t="shared" si="7"/>
        <v>450</v>
      </c>
      <c r="H8" s="11">
        <f>ROUND(PRODUCT(G8/5),0)</f>
        <v>90</v>
      </c>
      <c r="I8" s="11">
        <f>ROUND(PRODUCT(G8/COUNT(F4:F8)),0)</f>
        <v>90</v>
      </c>
      <c r="J8" s="45">
        <v>0.31180555555555556</v>
      </c>
      <c r="K8" s="21">
        <f t="shared" si="4"/>
        <v>1.209027777777778</v>
      </c>
      <c r="L8" s="46">
        <f t="shared" si="0"/>
        <v>18.3</v>
      </c>
      <c r="M8" s="49">
        <v>45.8</v>
      </c>
      <c r="N8" s="45">
        <v>0.46875</v>
      </c>
      <c r="O8" s="21">
        <f t="shared" si="5"/>
        <v>1.7048611111111112</v>
      </c>
      <c r="P8" s="46">
        <f t="shared" si="1"/>
        <v>12.2</v>
      </c>
      <c r="Q8" s="21">
        <f t="shared" si="2"/>
        <v>0.15694444444444444</v>
      </c>
      <c r="R8" s="21">
        <f t="shared" si="8"/>
        <v>0.49583333333333324</v>
      </c>
      <c r="S8" s="29">
        <v>190</v>
      </c>
      <c r="T8" s="29">
        <v>19</v>
      </c>
      <c r="U8" s="18">
        <f t="shared" si="9"/>
        <v>-171</v>
      </c>
      <c r="V8" s="29">
        <v>120</v>
      </c>
      <c r="W8" s="18">
        <f t="shared" si="6"/>
        <v>4761</v>
      </c>
      <c r="X8" s="29">
        <v>273</v>
      </c>
      <c r="Y8" s="18">
        <f t="shared" si="10"/>
        <v>5063</v>
      </c>
      <c r="Z8" s="18">
        <f t="shared" si="3"/>
        <v>-153</v>
      </c>
      <c r="AA8" s="29">
        <v>229</v>
      </c>
      <c r="AB8" s="29">
        <v>5</v>
      </c>
      <c r="AC8" s="30">
        <v>13</v>
      </c>
      <c r="AD8" s="29">
        <v>4</v>
      </c>
      <c r="AE8" s="30">
        <v>11</v>
      </c>
      <c r="AF8" s="30">
        <v>18</v>
      </c>
      <c r="AG8" s="30">
        <v>30</v>
      </c>
      <c r="AH8" s="19">
        <f t="shared" si="11"/>
        <v>12</v>
      </c>
    </row>
    <row r="9" spans="1:34" ht="13">
      <c r="A9" s="41" t="s">
        <v>46</v>
      </c>
      <c r="B9" s="32">
        <v>39191</v>
      </c>
      <c r="C9" s="5" t="s">
        <v>62</v>
      </c>
      <c r="D9" s="6" t="s">
        <v>63</v>
      </c>
      <c r="E9" s="4" t="s">
        <v>64</v>
      </c>
      <c r="F9" s="5">
        <v>89</v>
      </c>
      <c r="G9" s="17">
        <f t="shared" si="7"/>
        <v>539</v>
      </c>
      <c r="H9" s="11">
        <f>ROUND(PRODUCT(G9/6),0)</f>
        <v>90</v>
      </c>
      <c r="I9" s="11">
        <f>ROUND(PRODUCT(G9/COUNT(F4:F9)),0)</f>
        <v>90</v>
      </c>
      <c r="J9" s="45">
        <v>0.22638888888888889</v>
      </c>
      <c r="K9" s="21">
        <f t="shared" si="4"/>
        <v>1.435416666666667</v>
      </c>
      <c r="L9" s="46">
        <f t="shared" si="0"/>
        <v>16.399999999999999</v>
      </c>
      <c r="M9" s="49">
        <v>30.7</v>
      </c>
      <c r="N9" s="45">
        <v>0.33333333333333331</v>
      </c>
      <c r="O9" s="21">
        <f t="shared" si="5"/>
        <v>2.0381944444444446</v>
      </c>
      <c r="P9" s="46">
        <f t="shared" si="1"/>
        <v>11.1</v>
      </c>
      <c r="Q9" s="21">
        <f t="shared" si="2"/>
        <v>0.10694444444444443</v>
      </c>
      <c r="R9" s="21">
        <f t="shared" si="8"/>
        <v>0.60277777777777763</v>
      </c>
      <c r="S9" s="29">
        <v>19</v>
      </c>
      <c r="T9" s="29">
        <v>16</v>
      </c>
      <c r="U9" s="18">
        <f t="shared" si="9"/>
        <v>-3</v>
      </c>
      <c r="V9" s="29">
        <v>60</v>
      </c>
      <c r="W9" s="18">
        <f t="shared" si="6"/>
        <v>4821</v>
      </c>
      <c r="X9" s="29">
        <v>64</v>
      </c>
      <c r="Y9" s="18">
        <f t="shared" si="10"/>
        <v>5127</v>
      </c>
      <c r="Z9" s="18">
        <f t="shared" si="3"/>
        <v>-4</v>
      </c>
      <c r="AA9" s="29">
        <v>18</v>
      </c>
      <c r="AB9" s="29">
        <v>4</v>
      </c>
      <c r="AC9" s="30">
        <v>8</v>
      </c>
      <c r="AD9" s="29">
        <v>4</v>
      </c>
      <c r="AE9" s="30">
        <v>6</v>
      </c>
      <c r="AF9" s="30">
        <v>17</v>
      </c>
      <c r="AG9" s="30">
        <v>25</v>
      </c>
      <c r="AH9" s="19">
        <f t="shared" si="11"/>
        <v>8</v>
      </c>
    </row>
    <row r="10" spans="1:34" ht="13">
      <c r="A10" s="41" t="s">
        <v>47</v>
      </c>
      <c r="B10" s="32">
        <v>39192</v>
      </c>
      <c r="C10" s="5" t="s">
        <v>64</v>
      </c>
      <c r="D10" s="6" t="s">
        <v>65</v>
      </c>
      <c r="E10" s="4" t="s">
        <v>66</v>
      </c>
      <c r="F10" s="5">
        <v>111</v>
      </c>
      <c r="G10" s="17">
        <f t="shared" si="7"/>
        <v>650</v>
      </c>
      <c r="H10" s="11">
        <f>ROUND(PRODUCT(G10/7),0)</f>
        <v>93</v>
      </c>
      <c r="I10" s="11">
        <f>ROUND(PRODUCT(G10/COUNT(F4:F10)),0)</f>
        <v>93</v>
      </c>
      <c r="J10" s="45">
        <v>0.24930555555555556</v>
      </c>
      <c r="K10" s="21">
        <f t="shared" si="4"/>
        <v>1.6847222222222227</v>
      </c>
      <c r="L10" s="46">
        <f t="shared" si="0"/>
        <v>18.600000000000001</v>
      </c>
      <c r="M10" s="49">
        <v>32.799999999999997</v>
      </c>
      <c r="N10" s="45">
        <v>0.39583333333333331</v>
      </c>
      <c r="O10" s="21">
        <f t="shared" si="5"/>
        <v>2.4340277777777781</v>
      </c>
      <c r="P10" s="46">
        <f t="shared" si="1"/>
        <v>11.7</v>
      </c>
      <c r="Q10" s="21">
        <f t="shared" si="2"/>
        <v>0.14652777777777776</v>
      </c>
      <c r="R10" s="21">
        <f t="shared" si="8"/>
        <v>0.74930555555555545</v>
      </c>
      <c r="S10" s="29">
        <v>16</v>
      </c>
      <c r="T10" s="29">
        <v>5</v>
      </c>
      <c r="U10" s="18">
        <f t="shared" si="9"/>
        <v>-11</v>
      </c>
      <c r="V10" s="29">
        <v>56</v>
      </c>
      <c r="W10" s="18">
        <f t="shared" si="6"/>
        <v>4877</v>
      </c>
      <c r="X10" s="29">
        <v>56</v>
      </c>
      <c r="Y10" s="18">
        <f t="shared" si="10"/>
        <v>5183</v>
      </c>
      <c r="Z10" s="18">
        <f t="shared" si="3"/>
        <v>0</v>
      </c>
      <c r="AA10" s="29">
        <v>23</v>
      </c>
      <c r="AB10" s="29">
        <v>4</v>
      </c>
      <c r="AC10" s="30">
        <v>8</v>
      </c>
      <c r="AD10" s="29">
        <v>5</v>
      </c>
      <c r="AE10" s="30">
        <v>9</v>
      </c>
      <c r="AF10" s="30">
        <v>17</v>
      </c>
      <c r="AG10" s="30">
        <v>36</v>
      </c>
      <c r="AH10" s="19">
        <f t="shared" si="11"/>
        <v>19</v>
      </c>
    </row>
    <row r="11" spans="1:34" ht="13">
      <c r="A11" s="40" t="s">
        <v>48</v>
      </c>
      <c r="B11" s="32">
        <v>39193</v>
      </c>
      <c r="C11" s="5" t="s">
        <v>66</v>
      </c>
      <c r="D11" s="6" t="s">
        <v>67</v>
      </c>
      <c r="E11" s="4" t="s">
        <v>68</v>
      </c>
      <c r="F11" s="5">
        <v>140</v>
      </c>
      <c r="G11" s="17">
        <f t="shared" si="7"/>
        <v>790</v>
      </c>
      <c r="H11" s="11">
        <f>ROUND(PRODUCT(G11/8),0)</f>
        <v>99</v>
      </c>
      <c r="I11" s="11">
        <f>ROUND(PRODUCT(G11/COUNT(F4:F11)),0)</f>
        <v>99</v>
      </c>
      <c r="J11" s="45">
        <v>0.3666666666666667</v>
      </c>
      <c r="K11" s="21">
        <f t="shared" si="4"/>
        <v>2.0513888888888894</v>
      </c>
      <c r="L11" s="46">
        <f t="shared" si="0"/>
        <v>15.9</v>
      </c>
      <c r="M11" s="49">
        <v>51.6</v>
      </c>
      <c r="N11" s="45">
        <v>0.46875</v>
      </c>
      <c r="O11" s="21">
        <f t="shared" si="5"/>
        <v>2.9027777777777781</v>
      </c>
      <c r="P11" s="46">
        <f t="shared" si="1"/>
        <v>12.4</v>
      </c>
      <c r="Q11" s="21">
        <f t="shared" si="2"/>
        <v>0.1020833333333333</v>
      </c>
      <c r="R11" s="21">
        <f t="shared" si="8"/>
        <v>0.85138888888888875</v>
      </c>
      <c r="S11" s="29">
        <v>5</v>
      </c>
      <c r="T11" s="29">
        <v>316</v>
      </c>
      <c r="U11" s="18">
        <f t="shared" si="9"/>
        <v>311</v>
      </c>
      <c r="V11" s="29">
        <v>1710</v>
      </c>
      <c r="W11" s="18">
        <f t="shared" si="6"/>
        <v>6587</v>
      </c>
      <c r="X11" s="29">
        <v>1400</v>
      </c>
      <c r="Y11" s="18">
        <f t="shared" si="10"/>
        <v>6583</v>
      </c>
      <c r="Z11" s="18">
        <f t="shared" si="3"/>
        <v>310</v>
      </c>
      <c r="AA11" s="29">
        <v>954</v>
      </c>
      <c r="AB11" s="29">
        <v>6</v>
      </c>
      <c r="AC11" s="30">
        <v>17</v>
      </c>
      <c r="AD11" s="29">
        <v>6</v>
      </c>
      <c r="AE11" s="30">
        <v>17</v>
      </c>
      <c r="AF11" s="30">
        <v>15</v>
      </c>
      <c r="AG11" s="30">
        <v>24</v>
      </c>
      <c r="AH11" s="19">
        <f t="shared" si="11"/>
        <v>9</v>
      </c>
    </row>
    <row r="12" spans="1:34" ht="13">
      <c r="A12" s="40" t="s">
        <v>49</v>
      </c>
      <c r="B12" s="32">
        <v>39194</v>
      </c>
      <c r="C12" s="5" t="s">
        <v>68</v>
      </c>
      <c r="D12" s="6" t="s">
        <v>69</v>
      </c>
      <c r="E12" s="4" t="s">
        <v>70</v>
      </c>
      <c r="F12" s="5">
        <v>113</v>
      </c>
      <c r="G12" s="17">
        <f t="shared" si="7"/>
        <v>903</v>
      </c>
      <c r="H12" s="11">
        <f>ROUND(PRODUCT(G12/9),0)</f>
        <v>100</v>
      </c>
      <c r="I12" s="11">
        <f>ROUND(PRODUCT(G12/COUNT(F4:F12)),0)</f>
        <v>100</v>
      </c>
      <c r="J12" s="45">
        <v>0.2902777777777778</v>
      </c>
      <c r="K12" s="21">
        <f t="shared" si="4"/>
        <v>2.3416666666666672</v>
      </c>
      <c r="L12" s="46">
        <f t="shared" si="0"/>
        <v>16.2</v>
      </c>
      <c r="M12" s="49">
        <v>57.1</v>
      </c>
      <c r="N12" s="45">
        <v>0.375</v>
      </c>
      <c r="O12" s="21">
        <f t="shared" si="5"/>
        <v>3.2777777777777781</v>
      </c>
      <c r="P12" s="46">
        <f t="shared" si="1"/>
        <v>12.6</v>
      </c>
      <c r="Q12" s="21">
        <f t="shared" si="2"/>
        <v>8.4722222222222199E-2</v>
      </c>
      <c r="R12" s="21">
        <f t="shared" si="8"/>
        <v>0.93611111111111089</v>
      </c>
      <c r="S12" s="29">
        <v>316</v>
      </c>
      <c r="T12" s="29">
        <v>316</v>
      </c>
      <c r="U12" s="18">
        <f t="shared" si="9"/>
        <v>0</v>
      </c>
      <c r="V12" s="29">
        <v>1290</v>
      </c>
      <c r="W12" s="18">
        <f t="shared" si="6"/>
        <v>7877</v>
      </c>
      <c r="X12" s="29">
        <v>1268</v>
      </c>
      <c r="Y12" s="18">
        <f t="shared" si="10"/>
        <v>7851</v>
      </c>
      <c r="Z12" s="18">
        <f t="shared" si="3"/>
        <v>22</v>
      </c>
      <c r="AA12" s="29">
        <v>527</v>
      </c>
      <c r="AB12" s="29">
        <v>4</v>
      </c>
      <c r="AC12" s="30">
        <v>18</v>
      </c>
      <c r="AD12" s="29">
        <v>5</v>
      </c>
      <c r="AE12" s="30">
        <v>14</v>
      </c>
      <c r="AF12" s="30">
        <v>21</v>
      </c>
      <c r="AG12" s="30">
        <v>30</v>
      </c>
      <c r="AH12" s="19">
        <f t="shared" si="11"/>
        <v>9</v>
      </c>
    </row>
    <row r="13" spans="1:34" ht="13">
      <c r="A13" s="40" t="s">
        <v>5</v>
      </c>
      <c r="B13" s="32">
        <v>39195</v>
      </c>
      <c r="C13" s="5"/>
      <c r="D13" s="6" t="s">
        <v>70</v>
      </c>
      <c r="E13" s="4"/>
      <c r="F13" s="5"/>
      <c r="G13" s="17">
        <f t="shared" si="7"/>
        <v>903</v>
      </c>
      <c r="H13" s="11">
        <f>ROUND(PRODUCT(G13/10),0)</f>
        <v>90</v>
      </c>
      <c r="I13" s="11">
        <f>ROUND(PRODUCT(G13/COUNT(F4:F13)),0)</f>
        <v>100</v>
      </c>
      <c r="J13" s="45"/>
      <c r="K13" s="21">
        <f t="shared" si="4"/>
        <v>2.3416666666666672</v>
      </c>
      <c r="L13" s="46">
        <f t="shared" si="0"/>
        <v>0</v>
      </c>
      <c r="M13" s="48"/>
      <c r="N13" s="45"/>
      <c r="O13" s="21">
        <f t="shared" si="5"/>
        <v>3.2777777777777781</v>
      </c>
      <c r="P13" s="46">
        <f t="shared" si="1"/>
        <v>0</v>
      </c>
      <c r="Q13" s="21">
        <f t="shared" si="2"/>
        <v>0</v>
      </c>
      <c r="R13" s="21">
        <f t="shared" si="8"/>
        <v>0.93611111111111089</v>
      </c>
      <c r="S13" s="29">
        <v>316</v>
      </c>
      <c r="T13" s="29">
        <v>316</v>
      </c>
      <c r="U13" s="18">
        <f t="shared" si="9"/>
        <v>0</v>
      </c>
      <c r="V13" s="29">
        <v>0</v>
      </c>
      <c r="W13" s="18">
        <f t="shared" si="6"/>
        <v>7877</v>
      </c>
      <c r="X13" s="11"/>
      <c r="Y13" s="18">
        <f t="shared" si="10"/>
        <v>7851</v>
      </c>
      <c r="Z13" s="18">
        <f t="shared" si="3"/>
        <v>0</v>
      </c>
      <c r="AA13" s="29">
        <v>316</v>
      </c>
      <c r="AB13" s="11"/>
      <c r="AC13" s="11"/>
      <c r="AD13" s="11"/>
      <c r="AE13" s="11"/>
      <c r="AF13" s="11"/>
      <c r="AG13" s="11"/>
      <c r="AH13" s="19">
        <f t="shared" si="11"/>
        <v>0</v>
      </c>
    </row>
    <row r="14" spans="1:34" ht="13">
      <c r="A14" s="40" t="s">
        <v>7</v>
      </c>
      <c r="B14" s="32">
        <v>39196</v>
      </c>
      <c r="C14" s="5" t="s">
        <v>70</v>
      </c>
      <c r="D14" s="6" t="s">
        <v>71</v>
      </c>
      <c r="E14" s="4" t="s">
        <v>72</v>
      </c>
      <c r="F14" s="5">
        <v>117</v>
      </c>
      <c r="G14" s="17">
        <f t="shared" si="7"/>
        <v>1020</v>
      </c>
      <c r="H14" s="11">
        <f>ROUND(PRODUCT(G14/11),0)</f>
        <v>93</v>
      </c>
      <c r="I14" s="11">
        <f>ROUND(PRODUCT(G14/COUNT(F4:F14)),0)</f>
        <v>102</v>
      </c>
      <c r="J14" s="45">
        <v>0.26527777777777778</v>
      </c>
      <c r="K14" s="21">
        <f t="shared" si="4"/>
        <v>2.6069444444444452</v>
      </c>
      <c r="L14" s="46">
        <f t="shared" si="0"/>
        <v>18.399999999999999</v>
      </c>
      <c r="M14" s="49">
        <v>57.6</v>
      </c>
      <c r="N14" s="45">
        <v>0.35416666666666669</v>
      </c>
      <c r="O14" s="21">
        <f t="shared" si="5"/>
        <v>3.6319444444444446</v>
      </c>
      <c r="P14" s="46">
        <f t="shared" si="1"/>
        <v>13.8</v>
      </c>
      <c r="Q14" s="21">
        <f t="shared" si="2"/>
        <v>8.8888888888888906E-2</v>
      </c>
      <c r="R14" s="21">
        <f t="shared" si="8"/>
        <v>1.0249999999999999</v>
      </c>
      <c r="S14" s="29">
        <v>316</v>
      </c>
      <c r="T14" s="29">
        <v>0</v>
      </c>
      <c r="U14" s="18">
        <f t="shared" si="9"/>
        <v>-316</v>
      </c>
      <c r="V14" s="29">
        <v>884</v>
      </c>
      <c r="W14" s="18">
        <f t="shared" si="6"/>
        <v>8761</v>
      </c>
      <c r="X14" s="29">
        <v>1205</v>
      </c>
      <c r="Y14" s="18">
        <f t="shared" si="10"/>
        <v>9056</v>
      </c>
      <c r="Z14" s="18">
        <f t="shared" si="3"/>
        <v>-321</v>
      </c>
      <c r="AA14" s="29">
        <v>511</v>
      </c>
      <c r="AB14" s="29">
        <v>5</v>
      </c>
      <c r="AC14" s="30">
        <v>14</v>
      </c>
      <c r="AD14" s="29">
        <v>5</v>
      </c>
      <c r="AE14" s="30">
        <v>11</v>
      </c>
      <c r="AF14" s="30">
        <v>18</v>
      </c>
      <c r="AG14" s="30">
        <v>31</v>
      </c>
      <c r="AH14" s="19">
        <f t="shared" si="11"/>
        <v>13</v>
      </c>
    </row>
    <row r="15" spans="1:34" ht="13">
      <c r="A15" s="40" t="s">
        <v>35</v>
      </c>
      <c r="B15" s="32">
        <v>39197</v>
      </c>
      <c r="C15" s="5" t="s">
        <v>72</v>
      </c>
      <c r="D15" s="6" t="s">
        <v>73</v>
      </c>
      <c r="E15" s="4" t="s">
        <v>74</v>
      </c>
      <c r="F15" s="5">
        <v>114</v>
      </c>
      <c r="G15" s="17">
        <f t="shared" si="7"/>
        <v>1134</v>
      </c>
      <c r="H15" s="11">
        <f>ROUND(PRODUCT(G15/12),0)</f>
        <v>95</v>
      </c>
      <c r="I15" s="11">
        <f>ROUND(PRODUCT(G15/COUNT(F4:F15)),0)</f>
        <v>103</v>
      </c>
      <c r="J15" s="45">
        <v>0.30277777777777776</v>
      </c>
      <c r="K15" s="21">
        <f t="shared" si="4"/>
        <v>2.9097222222222228</v>
      </c>
      <c r="L15" s="46">
        <f t="shared" si="0"/>
        <v>15.7</v>
      </c>
      <c r="M15" s="49">
        <v>49.2</v>
      </c>
      <c r="N15" s="45">
        <v>0.4375</v>
      </c>
      <c r="O15" s="21">
        <f t="shared" si="5"/>
        <v>4.0694444444444446</v>
      </c>
      <c r="P15" s="46">
        <f t="shared" si="1"/>
        <v>10.9</v>
      </c>
      <c r="Q15" s="21">
        <f t="shared" si="2"/>
        <v>0.13472222222222224</v>
      </c>
      <c r="R15" s="21">
        <f t="shared" si="8"/>
        <v>1.1597222222222221</v>
      </c>
      <c r="S15" s="29">
        <v>0</v>
      </c>
      <c r="T15" s="29">
        <v>41</v>
      </c>
      <c r="U15" s="18">
        <f t="shared" si="9"/>
        <v>41</v>
      </c>
      <c r="V15" s="29">
        <v>1104</v>
      </c>
      <c r="W15" s="18">
        <f t="shared" si="6"/>
        <v>9865</v>
      </c>
      <c r="X15" s="29">
        <v>1077</v>
      </c>
      <c r="Y15" s="18">
        <f t="shared" si="10"/>
        <v>10133</v>
      </c>
      <c r="Z15" s="18">
        <f t="shared" si="3"/>
        <v>27</v>
      </c>
      <c r="AA15" s="29">
        <v>358</v>
      </c>
      <c r="AB15" s="29">
        <v>6</v>
      </c>
      <c r="AC15" s="30">
        <v>18</v>
      </c>
      <c r="AD15" s="29">
        <v>7</v>
      </c>
      <c r="AE15" s="30">
        <v>26</v>
      </c>
      <c r="AF15" s="30">
        <v>18</v>
      </c>
      <c r="AG15" s="30">
        <v>31</v>
      </c>
      <c r="AH15" s="19">
        <f t="shared" si="11"/>
        <v>13</v>
      </c>
    </row>
    <row r="16" spans="1:34" ht="13">
      <c r="A16" s="40" t="s">
        <v>36</v>
      </c>
      <c r="B16" s="32">
        <v>39198</v>
      </c>
      <c r="C16" s="5" t="s">
        <v>74</v>
      </c>
      <c r="D16" s="6" t="s">
        <v>75</v>
      </c>
      <c r="E16" s="4" t="s">
        <v>76</v>
      </c>
      <c r="F16" s="5">
        <v>104</v>
      </c>
      <c r="G16" s="17">
        <f t="shared" si="7"/>
        <v>1238</v>
      </c>
      <c r="H16" s="11">
        <f>ROUND(PRODUCT(G16/13),0)</f>
        <v>95</v>
      </c>
      <c r="I16" s="11">
        <f>ROUND(PRODUCT(G16/COUNT(F4:F16)),0)</f>
        <v>103</v>
      </c>
      <c r="J16" s="45">
        <v>0.32847222222222222</v>
      </c>
      <c r="K16" s="21">
        <f t="shared" si="4"/>
        <v>3.2381944444444448</v>
      </c>
      <c r="L16" s="46">
        <f t="shared" si="0"/>
        <v>13.2</v>
      </c>
      <c r="M16" s="49">
        <v>54.4</v>
      </c>
      <c r="N16" s="45">
        <v>0.48958333333333331</v>
      </c>
      <c r="O16" s="21">
        <f t="shared" si="5"/>
        <v>4.5590277777777777</v>
      </c>
      <c r="P16" s="46">
        <f t="shared" si="1"/>
        <v>8.9</v>
      </c>
      <c r="Q16" s="21">
        <f t="shared" si="2"/>
        <v>0.16111111111111109</v>
      </c>
      <c r="R16" s="21">
        <f t="shared" si="8"/>
        <v>1.3208333333333333</v>
      </c>
      <c r="S16" s="29">
        <v>41</v>
      </c>
      <c r="T16" s="29">
        <v>7</v>
      </c>
      <c r="U16" s="18">
        <f t="shared" si="9"/>
        <v>-34</v>
      </c>
      <c r="V16" s="29">
        <v>1888</v>
      </c>
      <c r="W16" s="18">
        <f t="shared" si="6"/>
        <v>11753</v>
      </c>
      <c r="X16" s="29">
        <v>1941</v>
      </c>
      <c r="Y16" s="18">
        <f t="shared" si="10"/>
        <v>12074</v>
      </c>
      <c r="Z16" s="18">
        <f t="shared" si="3"/>
        <v>-53</v>
      </c>
      <c r="AA16" s="29">
        <v>615</v>
      </c>
      <c r="AB16" s="29">
        <v>6</v>
      </c>
      <c r="AC16" s="30">
        <v>17</v>
      </c>
      <c r="AD16" s="29">
        <v>6</v>
      </c>
      <c r="AE16" s="30">
        <v>13</v>
      </c>
      <c r="AF16" s="30">
        <v>20</v>
      </c>
      <c r="AG16" s="30">
        <v>31</v>
      </c>
      <c r="AH16" s="19">
        <f t="shared" si="11"/>
        <v>11</v>
      </c>
    </row>
    <row r="17" spans="1:34" ht="13">
      <c r="A17" s="40" t="s">
        <v>37</v>
      </c>
      <c r="B17" s="32">
        <v>39199</v>
      </c>
      <c r="C17" s="5" t="s">
        <v>76</v>
      </c>
      <c r="D17" s="6" t="s">
        <v>77</v>
      </c>
      <c r="E17" s="4" t="s">
        <v>78</v>
      </c>
      <c r="F17" s="5">
        <v>148</v>
      </c>
      <c r="G17" s="17">
        <f t="shared" si="7"/>
        <v>1386</v>
      </c>
      <c r="H17" s="11">
        <f>ROUND(PRODUCT(G17/14),0)</f>
        <v>99</v>
      </c>
      <c r="I17" s="11">
        <f>ROUND(PRODUCT(G17/COUNT(F4:F17)),0)</f>
        <v>107</v>
      </c>
      <c r="J17" s="45">
        <v>0.36041666666666666</v>
      </c>
      <c r="K17" s="21">
        <f t="shared" si="4"/>
        <v>3.5986111111111114</v>
      </c>
      <c r="L17" s="46">
        <f t="shared" si="0"/>
        <v>17.100000000000001</v>
      </c>
      <c r="M17" s="49">
        <v>58.8</v>
      </c>
      <c r="N17" s="45">
        <v>0.5</v>
      </c>
      <c r="O17" s="21">
        <f t="shared" si="5"/>
        <v>5.0590277777777777</v>
      </c>
      <c r="P17" s="46">
        <f t="shared" si="1"/>
        <v>12.3</v>
      </c>
      <c r="Q17" s="21">
        <f t="shared" si="2"/>
        <v>0.13958333333333334</v>
      </c>
      <c r="R17" s="21">
        <f t="shared" si="8"/>
        <v>1.4604166666666667</v>
      </c>
      <c r="S17" s="29">
        <v>7</v>
      </c>
      <c r="T17" s="29">
        <v>7</v>
      </c>
      <c r="U17" s="18">
        <f t="shared" si="9"/>
        <v>0</v>
      </c>
      <c r="V17" s="29">
        <v>733</v>
      </c>
      <c r="W17" s="18">
        <f t="shared" si="6"/>
        <v>12486</v>
      </c>
      <c r="X17" s="29">
        <v>752</v>
      </c>
      <c r="Y17" s="18">
        <f t="shared" si="10"/>
        <v>12826</v>
      </c>
      <c r="Z17" s="18">
        <f t="shared" si="3"/>
        <v>-19</v>
      </c>
      <c r="AA17" s="29">
        <v>142</v>
      </c>
      <c r="AB17" s="29">
        <v>5</v>
      </c>
      <c r="AC17" s="30">
        <v>13</v>
      </c>
      <c r="AD17" s="29">
        <v>5</v>
      </c>
      <c r="AE17" s="30">
        <v>19</v>
      </c>
      <c r="AF17" s="30">
        <v>19</v>
      </c>
      <c r="AG17" s="30">
        <v>34</v>
      </c>
      <c r="AH17" s="19">
        <f t="shared" si="11"/>
        <v>15</v>
      </c>
    </row>
    <row r="18" spans="1:34" ht="13">
      <c r="A18" s="40" t="s">
        <v>38</v>
      </c>
      <c r="B18" s="32">
        <v>39200</v>
      </c>
      <c r="C18" s="5" t="s">
        <v>78</v>
      </c>
      <c r="D18" s="6" t="s">
        <v>79</v>
      </c>
      <c r="E18" s="4" t="s">
        <v>80</v>
      </c>
      <c r="F18" s="5">
        <v>71</v>
      </c>
      <c r="G18" s="17">
        <f t="shared" si="7"/>
        <v>1457</v>
      </c>
      <c r="H18" s="11">
        <f>ROUND(PRODUCT(G18/15),0)</f>
        <v>97</v>
      </c>
      <c r="I18" s="11">
        <f>ROUND(PRODUCT(G18/COUNT(F4:F18)),0)</f>
        <v>104</v>
      </c>
      <c r="J18" s="45">
        <v>0.18263888888888891</v>
      </c>
      <c r="K18" s="21">
        <f t="shared" si="4"/>
        <v>3.7812500000000004</v>
      </c>
      <c r="L18" s="46">
        <f t="shared" si="0"/>
        <v>16.2</v>
      </c>
      <c r="M18" s="49">
        <v>55.8</v>
      </c>
      <c r="N18" s="45">
        <v>0.27083333333333331</v>
      </c>
      <c r="O18" s="21">
        <f t="shared" si="5"/>
        <v>5.3298611111111107</v>
      </c>
      <c r="P18" s="46">
        <f t="shared" si="1"/>
        <v>10.9</v>
      </c>
      <c r="Q18" s="21">
        <f t="shared" si="2"/>
        <v>8.8194444444444409E-2</v>
      </c>
      <c r="R18" s="21">
        <f t="shared" si="8"/>
        <v>1.5486111111111112</v>
      </c>
      <c r="S18" s="29">
        <v>7</v>
      </c>
      <c r="T18" s="11">
        <v>27</v>
      </c>
      <c r="U18" s="18">
        <f t="shared" si="9"/>
        <v>20</v>
      </c>
      <c r="V18" s="29">
        <v>485</v>
      </c>
      <c r="W18" s="18">
        <f t="shared" si="6"/>
        <v>12971</v>
      </c>
      <c r="X18" s="29">
        <v>471</v>
      </c>
      <c r="Y18" s="18">
        <f t="shared" si="10"/>
        <v>13297</v>
      </c>
      <c r="Z18" s="18">
        <f t="shared" si="3"/>
        <v>14</v>
      </c>
      <c r="AA18" s="29">
        <v>92</v>
      </c>
      <c r="AB18" s="29">
        <v>4</v>
      </c>
      <c r="AC18" s="30">
        <v>9</v>
      </c>
      <c r="AD18" s="29">
        <v>4</v>
      </c>
      <c r="AE18" s="30">
        <v>10</v>
      </c>
      <c r="AF18" s="30">
        <v>22</v>
      </c>
      <c r="AG18" s="30">
        <v>34</v>
      </c>
      <c r="AH18" s="19">
        <f t="shared" si="11"/>
        <v>12</v>
      </c>
    </row>
    <row r="19" spans="1:34" ht="13">
      <c r="A19" s="31" t="s">
        <v>6</v>
      </c>
      <c r="B19" s="58"/>
      <c r="C19" s="59"/>
      <c r="D19" s="59"/>
      <c r="E19" s="60"/>
      <c r="F19" s="33">
        <f>SUM(F4:F18)</f>
        <v>1457</v>
      </c>
      <c r="G19" s="22">
        <f>SUM(G18)</f>
        <v>1457</v>
      </c>
      <c r="H19" s="22">
        <f>SUM(H18)</f>
        <v>97</v>
      </c>
      <c r="I19" s="22">
        <f>SUM(I18)</f>
        <v>104</v>
      </c>
      <c r="J19" s="23">
        <f>SUM(J4:J18)</f>
        <v>3.7812500000000004</v>
      </c>
      <c r="K19" s="36">
        <f>F19/SUM(HOUR(J19)+(ROUNDDOWN(J19,0)*24),PRODUCT(MINUTE(J19)/60))</f>
        <v>16.055096418732781</v>
      </c>
      <c r="L19" s="39">
        <f>SUM(L4:L18)/COUNT(F4:F18)</f>
        <v>15.992857142857138</v>
      </c>
      <c r="M19" s="50">
        <f>PRODUCT(SUM(M4:M18),1/COUNT(M4:M18))</f>
        <v>51.035714285714285</v>
      </c>
      <c r="N19" s="23">
        <f>SUM(N4:N18)</f>
        <v>5.3298611111111107</v>
      </c>
      <c r="O19" s="36">
        <f>F19/SUM(HOUR(N19)+(ROUNDDOWN(N19,0)*24),PRODUCT(MINUTE(N19)/60))</f>
        <v>11.390228013029315</v>
      </c>
      <c r="P19" s="39">
        <f>SUM(P4:P18)/COUNT(F4:F18)</f>
        <v>11.157142857142858</v>
      </c>
      <c r="Q19" s="23">
        <f>SUM(Q4:Q18)</f>
        <v>1.5486111111111112</v>
      </c>
      <c r="R19" s="22"/>
      <c r="S19" s="22">
        <f>ROUND(SUM(S4:S18)/COUNT(S4:S18),0)</f>
        <v>252</v>
      </c>
      <c r="T19" s="22">
        <f>ROUND(SUM(T4:T18)/COUNT(T4:T18),0)</f>
        <v>225</v>
      </c>
      <c r="U19" s="24">
        <f>SUM(U4:U18)</f>
        <v>-412</v>
      </c>
      <c r="V19" s="22">
        <f>ROUND(SUM(V4:V18)/COUNT(V4:V18),0)</f>
        <v>865</v>
      </c>
      <c r="W19" s="22">
        <f>SUM(W18)</f>
        <v>12971</v>
      </c>
      <c r="X19" s="22">
        <f>ROUND(SUM(X4:X18)/COUNT(V4:V18),0)</f>
        <v>886</v>
      </c>
      <c r="Y19" s="22">
        <f>SUM(Y18)</f>
        <v>13297</v>
      </c>
      <c r="Z19" s="24">
        <f>SUM(Z4:Z18)</f>
        <v>-326</v>
      </c>
      <c r="AA19" s="22">
        <f>ROUND(SUM(AA4:AA18)/COUNT(AA4:AA18),0)</f>
        <v>624</v>
      </c>
      <c r="AB19" s="35">
        <f t="shared" ref="AB19:AG19" si="12">SUM(AB4:AB18)/COUNT(AB4:AB18)</f>
        <v>5.2857142857142856</v>
      </c>
      <c r="AC19" s="35">
        <f t="shared" si="12"/>
        <v>14.785714285714286</v>
      </c>
      <c r="AD19" s="35">
        <f t="shared" si="12"/>
        <v>5.4285714285714288</v>
      </c>
      <c r="AE19" s="35">
        <f t="shared" si="12"/>
        <v>15.285714285714286</v>
      </c>
      <c r="AF19" s="35">
        <f t="shared" si="12"/>
        <v>17.785714285714285</v>
      </c>
      <c r="AG19" s="35">
        <f t="shared" si="12"/>
        <v>32.142857142857146</v>
      </c>
      <c r="AH19" s="35">
        <f>SUM(AH4:AH18)/COUNT(AG4:AG18)</f>
        <v>14.357142857142858</v>
      </c>
    </row>
    <row r="20" spans="1:34" ht="13">
      <c r="Q20" s="11"/>
      <c r="R20" s="11"/>
      <c r="S20" s="11"/>
      <c r="W20" s="18"/>
      <c r="Y20" s="18"/>
    </row>
    <row r="21" spans="1:34" ht="13">
      <c r="O21" s="11"/>
      <c r="P21" s="11"/>
      <c r="Q21" s="11"/>
      <c r="R21" s="34"/>
      <c r="S21" s="11"/>
      <c r="T21" s="11"/>
      <c r="U21" s="11"/>
      <c r="V21" s="11"/>
      <c r="W21" s="18"/>
      <c r="X21" s="11"/>
      <c r="Y21" s="18"/>
      <c r="Z21" s="11"/>
      <c r="AA21" s="11"/>
    </row>
    <row r="22" spans="1:34" ht="13">
      <c r="N22" s="38"/>
      <c r="O22" s="11"/>
      <c r="P22" s="11"/>
      <c r="Q22" s="37"/>
      <c r="R22" s="37"/>
      <c r="S22" s="11"/>
      <c r="T22" s="11"/>
      <c r="U22" s="11"/>
      <c r="V22" s="11"/>
      <c r="W22" s="11"/>
      <c r="X22" s="11"/>
      <c r="Y22" s="11"/>
      <c r="Z22" s="11"/>
      <c r="AA22" s="11"/>
    </row>
    <row r="23" spans="1:34" ht="13">
      <c r="O23" s="11"/>
      <c r="P23" s="11"/>
      <c r="Q23" s="37"/>
      <c r="R23" s="37"/>
      <c r="S23" s="11"/>
      <c r="T23" s="11"/>
      <c r="U23" s="11"/>
      <c r="V23" s="11"/>
      <c r="W23" s="11"/>
      <c r="X23" s="11"/>
      <c r="Y23" s="11"/>
      <c r="Z23" s="11"/>
      <c r="AA23" s="11"/>
    </row>
    <row r="24" spans="1:34" ht="13">
      <c r="O24" s="11"/>
      <c r="P24" s="11"/>
      <c r="Q24" s="11"/>
      <c r="R24" s="37"/>
      <c r="S24" s="11"/>
      <c r="T24" s="11"/>
      <c r="U24" s="11"/>
      <c r="V24" s="11"/>
      <c r="W24" s="11"/>
      <c r="X24" s="11"/>
      <c r="Y24" s="11"/>
      <c r="Z24" s="11"/>
      <c r="AA24" s="11"/>
    </row>
    <row r="25" spans="1:34"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</sheetData>
  <mergeCells count="4">
    <mergeCell ref="A1:F1"/>
    <mergeCell ref="A2:F2"/>
    <mergeCell ref="G1:AH1"/>
    <mergeCell ref="B19:E19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4FE55-6F8E-4E30-B4E7-713334C8E4A2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FBA8-95DE-46E8-AFD6-78B9395D76BA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2025-11-12T20:08:27Z</dcterms:modified>
</cp:coreProperties>
</file>