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7E5697B-CBA9-41E9-9195-99FCC96C903F}" xr6:coauthVersionLast="47" xr6:coauthVersionMax="47" xr10:uidLastSave="{00000000-0000-0000-0000-000000000000}"/>
  <bookViews>
    <workbookView xWindow="-110" yWindow="-110" windowWidth="19420" windowHeight="10420" xr2:uid="{9D739DA4-E561-49D0-8059-F8DB5AB405D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P4" i="1"/>
  <c r="P23" i="1" s="1"/>
  <c r="Q4" i="1"/>
  <c r="R4" i="1" s="1"/>
  <c r="R5" i="1" s="1"/>
  <c r="R6" i="1" s="1"/>
  <c r="R7" i="1" s="1"/>
  <c r="U4" i="1"/>
  <c r="W4" i="1"/>
  <c r="Y4" i="1"/>
  <c r="Z4" i="1"/>
  <c r="AH4" i="1"/>
  <c r="G5" i="1"/>
  <c r="I5" i="1" s="1"/>
  <c r="H5" i="1"/>
  <c r="K5" i="1"/>
  <c r="L5" i="1"/>
  <c r="P5" i="1"/>
  <c r="Q5" i="1"/>
  <c r="U5" i="1"/>
  <c r="U23" i="1" s="1"/>
  <c r="W5" i="1"/>
  <c r="Y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Z6" i="1"/>
  <c r="AH6" i="1"/>
  <c r="L7" i="1"/>
  <c r="L23" i="1" s="1"/>
  <c r="P7" i="1"/>
  <c r="Q7" i="1"/>
  <c r="U7" i="1"/>
  <c r="Z7" i="1"/>
  <c r="Z23" i="1" s="1"/>
  <c r="AH7" i="1"/>
  <c r="AH23" i="1" s="1"/>
  <c r="L8" i="1"/>
  <c r="P8" i="1"/>
  <c r="Q8" i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L13" i="1"/>
  <c r="P13" i="1"/>
  <c r="Q13" i="1"/>
  <c r="U13" i="1"/>
  <c r="Z13" i="1"/>
  <c r="AH13" i="1"/>
  <c r="L14" i="1"/>
  <c r="P14" i="1"/>
  <c r="Q14" i="1"/>
  <c r="U14" i="1"/>
  <c r="Z14" i="1"/>
  <c r="AH14" i="1"/>
  <c r="L15" i="1"/>
  <c r="P15" i="1"/>
  <c r="Q15" i="1"/>
  <c r="U15" i="1"/>
  <c r="Z15" i="1"/>
  <c r="AH15" i="1"/>
  <c r="L16" i="1"/>
  <c r="P16" i="1"/>
  <c r="Q16" i="1"/>
  <c r="U16" i="1"/>
  <c r="Z16" i="1"/>
  <c r="AH16" i="1"/>
  <c r="L17" i="1"/>
  <c r="P17" i="1"/>
  <c r="Q17" i="1"/>
  <c r="U17" i="1"/>
  <c r="Z17" i="1"/>
  <c r="AH17" i="1"/>
  <c r="L18" i="1"/>
  <c r="P18" i="1"/>
  <c r="Q18" i="1"/>
  <c r="U18" i="1"/>
  <c r="Z18" i="1"/>
  <c r="AH18" i="1"/>
  <c r="L19" i="1"/>
  <c r="P19" i="1"/>
  <c r="Q19" i="1"/>
  <c r="U19" i="1"/>
  <c r="Z19" i="1"/>
  <c r="AH19" i="1"/>
  <c r="L20" i="1"/>
  <c r="P20" i="1"/>
  <c r="Q20" i="1"/>
  <c r="U20" i="1"/>
  <c r="Z20" i="1"/>
  <c r="AH20" i="1"/>
  <c r="L21" i="1"/>
  <c r="P21" i="1"/>
  <c r="Q21" i="1"/>
  <c r="U21" i="1"/>
  <c r="Z21" i="1"/>
  <c r="AH21" i="1"/>
  <c r="L22" i="1"/>
  <c r="P22" i="1"/>
  <c r="Q22" i="1"/>
  <c r="U22" i="1"/>
  <c r="Z22" i="1"/>
  <c r="AH22" i="1"/>
  <c r="F23" i="1"/>
  <c r="O23" i="1" s="1"/>
  <c r="J23" i="1"/>
  <c r="K23" i="1"/>
  <c r="M23" i="1"/>
  <c r="N23" i="1"/>
  <c r="S23" i="1"/>
  <c r="T23" i="1"/>
  <c r="V23" i="1"/>
  <c r="X23" i="1"/>
  <c r="AA23" i="1"/>
  <c r="AB23" i="1"/>
  <c r="AC23" i="1"/>
  <c r="AD23" i="1"/>
  <c r="AE23" i="1"/>
  <c r="AF23" i="1"/>
  <c r="AG23" i="1"/>
  <c r="R8" i="1" l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G6" i="1"/>
  <c r="I4" i="1"/>
  <c r="Q23" i="1"/>
  <c r="G7" i="1" l="1"/>
  <c r="I6" i="1"/>
  <c r="H6" i="1"/>
  <c r="G8" i="1" l="1"/>
  <c r="H7" i="1"/>
  <c r="I7" i="1"/>
  <c r="G9" i="1" l="1"/>
  <c r="H8" i="1"/>
  <c r="I8" i="1"/>
  <c r="I9" i="1" l="1"/>
  <c r="H9" i="1"/>
  <c r="G10" i="1"/>
  <c r="G11" i="1" l="1"/>
  <c r="H10" i="1"/>
  <c r="I10" i="1"/>
  <c r="G12" i="1" l="1"/>
  <c r="H11" i="1"/>
  <c r="I11" i="1"/>
  <c r="G13" i="1" l="1"/>
  <c r="H12" i="1"/>
  <c r="I12" i="1"/>
  <c r="I13" i="1" l="1"/>
  <c r="H13" i="1"/>
  <c r="G14" i="1"/>
  <c r="G15" i="1" l="1"/>
  <c r="H14" i="1"/>
  <c r="I14" i="1"/>
  <c r="G16" i="1" l="1"/>
  <c r="H15" i="1"/>
  <c r="I15" i="1"/>
  <c r="G17" i="1" l="1"/>
  <c r="H16" i="1"/>
  <c r="I16" i="1"/>
  <c r="I17" i="1" l="1"/>
  <c r="H17" i="1"/>
  <c r="G18" i="1"/>
  <c r="I18" i="1" l="1"/>
  <c r="G19" i="1"/>
  <c r="H18" i="1"/>
  <c r="G20" i="1" l="1"/>
  <c r="H19" i="1"/>
  <c r="I19" i="1"/>
  <c r="H20" i="1" l="1"/>
  <c r="I20" i="1"/>
  <c r="G21" i="1"/>
  <c r="I21" i="1" l="1"/>
  <c r="G22" i="1"/>
  <c r="H21" i="1"/>
  <c r="H22" i="1" l="1"/>
  <c r="H23" i="1" s="1"/>
  <c r="I22" i="1"/>
  <c r="I23" i="1" s="1"/>
  <c r="G23" i="1"/>
</calcChain>
</file>

<file path=xl/sharedStrings.xml><?xml version="1.0" encoding="utf-8"?>
<sst xmlns="http://schemas.openxmlformats.org/spreadsheetml/2006/main" count="98" uniqueCount="80">
  <si>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</si>
  <si>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</si>
  <si>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</si>
  <si>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</si>
  <si>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</si>
  <si>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</si>
  <si>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</si>
  <si>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</si>
  <si>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</si>
  <si>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</si>
  <si>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</si>
  <si>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</si>
  <si>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</si>
  <si>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</si>
  <si>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</si>
  <si>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</si>
  <si>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</si>
  <si>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</si>
  <si>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</si>
  <si>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</si>
  <si>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</si>
  <si>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</si>
  <si>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</si>
  <si>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</si>
  <si>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</si>
  <si>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</si>
  <si>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</si>
  <si>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</si>
  <si>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</si>
  <si>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</si>
  <si>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</si>
  <si>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</si>
  <si>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</si>
  <si>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</si>
  <si>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</si>
  <si>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</si>
  <si>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</si>
  <si>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</si>
  <si>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</si>
  <si>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</si>
  <si>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</si>
  <si>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</si>
  <si>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</si>
  <si>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</si>
  <si>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</si>
  <si>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</si>
  <si>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</si>
  <si>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</si>
  <si>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</si>
  <si>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</si>
  <si>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</si>
  <si>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</si>
  <si>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</si>
  <si>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</si>
  <si>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Belarus - St. Petersburg - Arvidsjaur (6.-24.8.2007)</t>
  </si>
  <si>
    <r>
      <t>Statistik</t>
    </r>
    <r>
      <rPr>
        <b/>
        <sz val="20"/>
        <rFont val="Arial"/>
        <family val="2"/>
      </rPr>
      <t xml:space="preserve"> Belarus - St. Petersburg - Arvidsjaur (6.-24.8.2007)</t>
    </r>
  </si>
  <si>
    <t>Miedzyrzec Podlaski</t>
  </si>
  <si>
    <t>Grenze Polen/Belarus</t>
  </si>
  <si>
    <t>Brest</t>
  </si>
  <si>
    <t>Pinsk</t>
  </si>
  <si>
    <t>Zhytkavichy</t>
  </si>
  <si>
    <t>Babrujsk</t>
  </si>
  <si>
    <t>Mahiljou</t>
  </si>
  <si>
    <t>Wizebsk</t>
  </si>
  <si>
    <t>Grenze Belarus/Russland</t>
  </si>
  <si>
    <t>Pustoshka</t>
  </si>
  <si>
    <t>Pskow</t>
  </si>
  <si>
    <t>St. Petersburg</t>
  </si>
  <si>
    <t>Primorsk</t>
  </si>
  <si>
    <t>Wyborg</t>
  </si>
  <si>
    <t>Grenze Russland/Finnland - Lappeenranta - Partakoski</t>
  </si>
  <si>
    <t>Ristiina</t>
  </si>
  <si>
    <t>Mikkeli - Pieksämäki</t>
  </si>
  <si>
    <t>Rautalampi</t>
  </si>
  <si>
    <t>Pyhäjärvi</t>
  </si>
  <si>
    <t>Oulu</t>
  </si>
  <si>
    <t>Grenze Finnland/Schweden</t>
  </si>
  <si>
    <t>Kalix</t>
  </si>
  <si>
    <t>Boden</t>
  </si>
  <si>
    <t>Arvidsjaur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</si>
</sst>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0326-89ED-4D24-B0B5-D00DE5023619}">
  <sheetPr codeName="Tabelle1"/>
  <dimension ref="A1:AH29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54</v>
      </c>
      <c r="B1" s="49"/>
      <c r="C1" s="49"/>
      <c r="D1" s="49"/>
      <c r="E1" s="49"/>
      <c r="F1" s="50"/>
      <c r="G1" s="52" t="s">
        <v>55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44</v>
      </c>
      <c r="M3" s="25" t="s">
        <v>25</v>
      </c>
      <c r="N3" s="25" t="s">
        <v>14</v>
      </c>
      <c r="O3" s="26" t="s">
        <v>33</v>
      </c>
      <c r="P3" s="25" t="s">
        <v>43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1" t="s">
        <v>45</v>
      </c>
      <c r="B4" s="31">
        <v>39300</v>
      </c>
      <c r="C4" s="5" t="s">
        <v>56</v>
      </c>
      <c r="D4" s="6" t="s">
        <v>57</v>
      </c>
      <c r="E4" s="4" t="s">
        <v>58</v>
      </c>
      <c r="F4" s="5">
        <v>73</v>
      </c>
      <c r="G4" s="13">
        <f>SUM(F4)</f>
        <v>73</v>
      </c>
      <c r="H4" s="14">
        <f>ROUND(PRODUCT(G4/1),0)</f>
        <v>73</v>
      </c>
      <c r="I4" s="14">
        <f>ROUND(PRODUCT(G4/COUNT(F4:F4)),0)</f>
        <v>73</v>
      </c>
      <c r="J4" s="42">
        <v>0.15138888888888888</v>
      </c>
      <c r="K4" s="20">
        <f>SUM(J4)</f>
        <v>0.15138888888888888</v>
      </c>
      <c r="L4" s="39">
        <f t="shared" ref="L4:L22" si="0">IF(F4=0,0,ROUND(PRODUCT(F4/SUM(HOUR(J4),PRODUCT(MINUTE(J4)/60))),1))</f>
        <v>20.100000000000001</v>
      </c>
      <c r="M4" s="44">
        <v>32.4</v>
      </c>
      <c r="N4" s="42">
        <v>0.29166666666666669</v>
      </c>
      <c r="O4" s="20">
        <f>SUM(N4)</f>
        <v>0.29166666666666669</v>
      </c>
      <c r="P4" s="39">
        <f t="shared" ref="P4:P22" si="1">IF(F4=0,0,ROUND(PRODUCT(F4/SUM(HOUR(N4),PRODUCT(MINUTE(N4)/60))),1))</f>
        <v>10.4</v>
      </c>
      <c r="Q4" s="20">
        <f t="shared" ref="Q4:Q22" si="2">SUM(N4,-J4)</f>
        <v>0.14027777777777781</v>
      </c>
      <c r="R4" s="20">
        <f>SUM(Q4)</f>
        <v>0.14027777777777781</v>
      </c>
      <c r="S4" s="14">
        <v>149</v>
      </c>
      <c r="T4" s="11">
        <v>144</v>
      </c>
      <c r="U4" s="15">
        <f>SUM(-S4,T4)</f>
        <v>-5</v>
      </c>
      <c r="V4" s="14">
        <v>50</v>
      </c>
      <c r="W4" s="15">
        <f>SUM(V4)</f>
        <v>50</v>
      </c>
      <c r="X4" s="14">
        <v>57</v>
      </c>
      <c r="Y4" s="15">
        <f>SUM(X4)</f>
        <v>57</v>
      </c>
      <c r="Z4" s="15">
        <f t="shared" ref="Z4:Z22" si="3">SUM(V4,-X4)</f>
        <v>-7</v>
      </c>
      <c r="AA4" s="14">
        <v>161</v>
      </c>
      <c r="AB4" s="14">
        <v>3</v>
      </c>
      <c r="AC4" s="14">
        <v>5</v>
      </c>
      <c r="AD4" s="14">
        <v>4</v>
      </c>
      <c r="AE4" s="14">
        <v>6</v>
      </c>
      <c r="AF4" s="14">
        <v>21</v>
      </c>
      <c r="AG4" s="14">
        <v>30</v>
      </c>
      <c r="AH4" s="16">
        <f>SUM(AG4,-AF4)</f>
        <v>9</v>
      </c>
    </row>
    <row r="5" spans="1:34" ht="13">
      <c r="A5" s="41" t="s">
        <v>46</v>
      </c>
      <c r="B5" s="31">
        <v>39301</v>
      </c>
      <c r="C5" s="5" t="s">
        <v>58</v>
      </c>
      <c r="D5" s="6"/>
      <c r="E5" s="4" t="s">
        <v>59</v>
      </c>
      <c r="F5" s="5">
        <v>190</v>
      </c>
      <c r="G5" s="17">
        <f>SUM(G4,F5)</f>
        <v>263</v>
      </c>
      <c r="H5" s="11">
        <f>ROUND(PRODUCT(G5/2),0)</f>
        <v>132</v>
      </c>
      <c r="I5" s="11">
        <f>ROUND(PRODUCT(G5/COUNT(F4:F5)),0)</f>
        <v>132</v>
      </c>
      <c r="J5" s="43">
        <v>0.4069444444444445</v>
      </c>
      <c r="K5" s="21">
        <f t="shared" ref="K5:K22" si="4">SUM(J5,K4)</f>
        <v>0.55833333333333335</v>
      </c>
      <c r="L5" s="39">
        <f t="shared" si="0"/>
        <v>19.5</v>
      </c>
      <c r="M5" s="45">
        <v>34.299999999999997</v>
      </c>
      <c r="N5" s="43">
        <v>0.54166666666666663</v>
      </c>
      <c r="O5" s="21">
        <f t="shared" ref="O5:O22" si="5">SUM(N5,O4)</f>
        <v>0.83333333333333326</v>
      </c>
      <c r="P5" s="39">
        <f t="shared" si="1"/>
        <v>14.6</v>
      </c>
      <c r="Q5" s="21">
        <f t="shared" si="2"/>
        <v>0.13472222222222213</v>
      </c>
      <c r="R5" s="21">
        <f>SUM(Q5,R4)</f>
        <v>0.27499999999999991</v>
      </c>
      <c r="S5" s="11">
        <v>144</v>
      </c>
      <c r="T5" s="11">
        <v>172</v>
      </c>
      <c r="U5" s="18">
        <f>SUM(-S5,T5)</f>
        <v>28</v>
      </c>
      <c r="V5" s="29">
        <v>116</v>
      </c>
      <c r="W5" s="18">
        <f t="shared" ref="W5:W22" si="6">SUM(W4,V5)</f>
        <v>166</v>
      </c>
      <c r="X5" s="11">
        <v>95</v>
      </c>
      <c r="Y5" s="18">
        <f>SUM(Y4,X5)</f>
        <v>152</v>
      </c>
      <c r="Z5" s="18">
        <f t="shared" si="3"/>
        <v>21</v>
      </c>
      <c r="AA5" s="11">
        <v>184</v>
      </c>
      <c r="AB5" s="11">
        <v>4</v>
      </c>
      <c r="AC5" s="29">
        <v>7</v>
      </c>
      <c r="AD5" s="11">
        <v>4</v>
      </c>
      <c r="AE5" s="29">
        <v>6</v>
      </c>
      <c r="AF5" s="29">
        <v>18</v>
      </c>
      <c r="AG5" s="29">
        <v>31</v>
      </c>
      <c r="AH5" s="19">
        <f>SUM(AG5,-AF5)</f>
        <v>13</v>
      </c>
    </row>
    <row r="6" spans="1:34" ht="13">
      <c r="A6" s="41" t="s">
        <v>47</v>
      </c>
      <c r="B6" s="31">
        <v>39302</v>
      </c>
      <c r="C6" s="5" t="s">
        <v>59</v>
      </c>
      <c r="D6" s="6"/>
      <c r="E6" s="4" t="s">
        <v>60</v>
      </c>
      <c r="F6" s="5">
        <v>147</v>
      </c>
      <c r="G6" s="17">
        <f t="shared" ref="G6:G22" si="7">SUM(G5,F6)</f>
        <v>410</v>
      </c>
      <c r="H6" s="11">
        <f>ROUND(PRODUCT(G6/3),0)</f>
        <v>137</v>
      </c>
      <c r="I6" s="11">
        <f>ROUND(PRODUCT(G6/COUNT(F4:F6)),0)</f>
        <v>137</v>
      </c>
      <c r="J6" s="43">
        <v>0.32569444444444445</v>
      </c>
      <c r="K6" s="21">
        <f t="shared" si="4"/>
        <v>0.88402777777777786</v>
      </c>
      <c r="L6" s="39">
        <f t="shared" si="0"/>
        <v>18.8</v>
      </c>
      <c r="M6" s="45">
        <v>28.1</v>
      </c>
      <c r="N6" s="43">
        <v>0.45833333333333331</v>
      </c>
      <c r="O6" s="21">
        <f t="shared" si="5"/>
        <v>1.2916666666666665</v>
      </c>
      <c r="P6" s="39">
        <f t="shared" si="1"/>
        <v>13.4</v>
      </c>
      <c r="Q6" s="21">
        <f t="shared" si="2"/>
        <v>0.13263888888888886</v>
      </c>
      <c r="R6" s="21">
        <f t="shared" ref="R6:R22" si="8">SUM(Q6,R5)</f>
        <v>0.40763888888888877</v>
      </c>
      <c r="S6" s="11">
        <v>172</v>
      </c>
      <c r="T6" s="11">
        <v>158</v>
      </c>
      <c r="U6" s="18">
        <f t="shared" ref="U6:U22" si="9">SUM(-S6,T6)</f>
        <v>-14</v>
      </c>
      <c r="V6" s="29">
        <v>55</v>
      </c>
      <c r="W6" s="18">
        <f t="shared" si="6"/>
        <v>221</v>
      </c>
      <c r="X6" s="11">
        <v>66</v>
      </c>
      <c r="Y6" s="18">
        <f t="shared" ref="Y6:Y22" si="10">SUM(Y5,X6)</f>
        <v>218</v>
      </c>
      <c r="Z6" s="18">
        <f t="shared" si="3"/>
        <v>-11</v>
      </c>
      <c r="AA6" s="11">
        <v>173</v>
      </c>
      <c r="AB6" s="11">
        <v>4</v>
      </c>
      <c r="AC6" s="29">
        <v>5</v>
      </c>
      <c r="AD6" s="11">
        <v>4</v>
      </c>
      <c r="AE6" s="29">
        <v>7</v>
      </c>
      <c r="AF6" s="29">
        <v>18</v>
      </c>
      <c r="AG6" s="29">
        <v>34</v>
      </c>
      <c r="AH6" s="19">
        <f t="shared" ref="AH6:AH22" si="11">SUM(AG6,-AF6)</f>
        <v>16</v>
      </c>
    </row>
    <row r="7" spans="1:34" ht="13">
      <c r="A7" s="41" t="s">
        <v>48</v>
      </c>
      <c r="B7" s="31">
        <v>39303</v>
      </c>
      <c r="C7" s="5"/>
      <c r="D7" s="6" t="s">
        <v>60</v>
      </c>
      <c r="E7" s="4"/>
      <c r="F7" s="5"/>
      <c r="G7" s="17">
        <f t="shared" si="7"/>
        <v>410</v>
      </c>
      <c r="H7" s="11">
        <f>ROUND(PRODUCT(G7/4),0)</f>
        <v>103</v>
      </c>
      <c r="I7" s="11">
        <f>ROUND(PRODUCT(G7/COUNT(F4:F7)),0)</f>
        <v>137</v>
      </c>
      <c r="J7" s="43"/>
      <c r="K7" s="21">
        <f t="shared" si="4"/>
        <v>0.88402777777777786</v>
      </c>
      <c r="L7" s="39">
        <f t="shared" si="0"/>
        <v>0</v>
      </c>
      <c r="M7" s="45"/>
      <c r="N7" s="43"/>
      <c r="O7" s="21">
        <f t="shared" si="5"/>
        <v>1.2916666666666665</v>
      </c>
      <c r="P7" s="39">
        <f t="shared" si="1"/>
        <v>0</v>
      </c>
      <c r="Q7" s="21">
        <f t="shared" si="2"/>
        <v>0</v>
      </c>
      <c r="R7" s="21">
        <f t="shared" si="8"/>
        <v>0.40763888888888877</v>
      </c>
      <c r="S7" s="11"/>
      <c r="T7" s="11"/>
      <c r="U7" s="18">
        <f t="shared" si="9"/>
        <v>0</v>
      </c>
      <c r="V7" s="11"/>
      <c r="W7" s="18">
        <f t="shared" si="6"/>
        <v>221</v>
      </c>
      <c r="X7" s="11"/>
      <c r="Y7" s="18">
        <f t="shared" si="10"/>
        <v>218</v>
      </c>
      <c r="Z7" s="18">
        <f t="shared" si="3"/>
        <v>0</v>
      </c>
      <c r="AA7" s="11"/>
      <c r="AB7" s="11"/>
      <c r="AC7" s="11"/>
      <c r="AD7" s="11"/>
      <c r="AE7" s="11"/>
      <c r="AF7" s="11"/>
      <c r="AG7" s="11"/>
      <c r="AH7" s="19">
        <f t="shared" si="11"/>
        <v>0</v>
      </c>
    </row>
    <row r="8" spans="1:34" ht="13">
      <c r="A8" s="41" t="s">
        <v>49</v>
      </c>
      <c r="B8" s="31">
        <v>39304</v>
      </c>
      <c r="C8" s="5"/>
      <c r="D8" s="6" t="s">
        <v>60</v>
      </c>
      <c r="E8" s="4"/>
      <c r="F8" s="5"/>
      <c r="G8" s="17">
        <f t="shared" si="7"/>
        <v>410</v>
      </c>
      <c r="H8" s="11">
        <f>ROUND(PRODUCT(G8/5),0)</f>
        <v>82</v>
      </c>
      <c r="I8" s="11">
        <f>ROUND(PRODUCT(G8/COUNT(F4:F8)),0)</f>
        <v>137</v>
      </c>
      <c r="J8" s="43"/>
      <c r="K8" s="21">
        <f t="shared" si="4"/>
        <v>0.88402777777777786</v>
      </c>
      <c r="L8" s="39">
        <f t="shared" si="0"/>
        <v>0</v>
      </c>
      <c r="M8" s="45"/>
      <c r="N8" s="43"/>
      <c r="O8" s="21">
        <f t="shared" si="5"/>
        <v>1.2916666666666665</v>
      </c>
      <c r="P8" s="39">
        <f t="shared" si="1"/>
        <v>0</v>
      </c>
      <c r="Q8" s="21">
        <f t="shared" si="2"/>
        <v>0</v>
      </c>
      <c r="R8" s="21">
        <f t="shared" si="8"/>
        <v>0.40763888888888877</v>
      </c>
      <c r="S8" s="11"/>
      <c r="T8" s="11"/>
      <c r="U8" s="18">
        <f t="shared" si="9"/>
        <v>0</v>
      </c>
      <c r="V8" s="11"/>
      <c r="W8" s="18">
        <f t="shared" si="6"/>
        <v>221</v>
      </c>
      <c r="X8" s="11"/>
      <c r="Y8" s="18">
        <f t="shared" si="10"/>
        <v>218</v>
      </c>
      <c r="Z8" s="18">
        <f t="shared" si="3"/>
        <v>0</v>
      </c>
      <c r="AA8" s="11"/>
      <c r="AB8" s="11"/>
      <c r="AC8" s="11"/>
      <c r="AD8" s="11"/>
      <c r="AE8" s="11"/>
      <c r="AF8" s="11"/>
      <c r="AG8" s="11"/>
      <c r="AH8" s="19">
        <f t="shared" si="11"/>
        <v>0</v>
      </c>
    </row>
    <row r="9" spans="1:34" ht="13">
      <c r="A9" s="41" t="s">
        <v>50</v>
      </c>
      <c r="B9" s="31">
        <v>39305</v>
      </c>
      <c r="C9" s="5" t="s">
        <v>60</v>
      </c>
      <c r="D9" s="6"/>
      <c r="E9" s="4" t="s">
        <v>61</v>
      </c>
      <c r="F9" s="5">
        <v>190</v>
      </c>
      <c r="G9" s="17">
        <f t="shared" si="7"/>
        <v>600</v>
      </c>
      <c r="H9" s="11">
        <f>ROUND(PRODUCT(G9/6),0)</f>
        <v>100</v>
      </c>
      <c r="I9" s="11">
        <f>ROUND(PRODUCT(G9/COUNT(F4:F9)),0)</f>
        <v>150</v>
      </c>
      <c r="J9" s="43">
        <v>0.37222222222222223</v>
      </c>
      <c r="K9" s="21">
        <f t="shared" si="4"/>
        <v>1.2562500000000001</v>
      </c>
      <c r="L9" s="39">
        <f t="shared" si="0"/>
        <v>21.3</v>
      </c>
      <c r="M9" s="46">
        <v>32.4</v>
      </c>
      <c r="N9" s="43">
        <v>0.44791666666666669</v>
      </c>
      <c r="O9" s="21">
        <f t="shared" si="5"/>
        <v>1.7395833333333333</v>
      </c>
      <c r="P9" s="39">
        <f t="shared" si="1"/>
        <v>17.7</v>
      </c>
      <c r="Q9" s="21">
        <f t="shared" si="2"/>
        <v>7.5694444444444453E-2</v>
      </c>
      <c r="R9" s="21">
        <f t="shared" si="8"/>
        <v>0.48333333333333323</v>
      </c>
      <c r="S9" s="29">
        <v>158</v>
      </c>
      <c r="T9" s="29">
        <v>176</v>
      </c>
      <c r="U9" s="18">
        <f t="shared" si="9"/>
        <v>18</v>
      </c>
      <c r="V9" s="29">
        <v>125</v>
      </c>
      <c r="W9" s="18">
        <f t="shared" si="6"/>
        <v>346</v>
      </c>
      <c r="X9" s="29">
        <v>118</v>
      </c>
      <c r="Y9" s="18">
        <f t="shared" si="10"/>
        <v>336</v>
      </c>
      <c r="Z9" s="18">
        <f t="shared" si="3"/>
        <v>7</v>
      </c>
      <c r="AA9" s="29">
        <v>185</v>
      </c>
      <c r="AB9" s="29">
        <v>3</v>
      </c>
      <c r="AC9" s="29">
        <v>4</v>
      </c>
      <c r="AD9" s="29">
        <v>3</v>
      </c>
      <c r="AE9" s="29">
        <v>4</v>
      </c>
      <c r="AF9" s="29">
        <v>21</v>
      </c>
      <c r="AG9" s="29">
        <v>36</v>
      </c>
      <c r="AH9" s="19">
        <f t="shared" si="11"/>
        <v>15</v>
      </c>
    </row>
    <row r="10" spans="1:34" ht="13">
      <c r="A10" s="41" t="s">
        <v>51</v>
      </c>
      <c r="B10" s="31">
        <v>39306</v>
      </c>
      <c r="C10" s="5" t="s">
        <v>61</v>
      </c>
      <c r="D10" s="6"/>
      <c r="E10" s="4" t="s">
        <v>62</v>
      </c>
      <c r="F10" s="5">
        <v>136</v>
      </c>
      <c r="G10" s="17">
        <f t="shared" si="7"/>
        <v>736</v>
      </c>
      <c r="H10" s="11">
        <f>ROUND(PRODUCT(G10/7),0)</f>
        <v>105</v>
      </c>
      <c r="I10" s="11">
        <f>ROUND(PRODUCT(G10/COUNT(F4:F10)),0)</f>
        <v>147</v>
      </c>
      <c r="J10" s="43">
        <v>0.30138888888888887</v>
      </c>
      <c r="K10" s="21">
        <f t="shared" si="4"/>
        <v>1.557638888888889</v>
      </c>
      <c r="L10" s="39">
        <f t="shared" si="0"/>
        <v>18.8</v>
      </c>
      <c r="M10" s="46">
        <v>46.3</v>
      </c>
      <c r="N10" s="43">
        <v>0.35416666666666669</v>
      </c>
      <c r="O10" s="21">
        <f t="shared" si="5"/>
        <v>2.09375</v>
      </c>
      <c r="P10" s="39">
        <f t="shared" si="1"/>
        <v>16</v>
      </c>
      <c r="Q10" s="21">
        <f t="shared" si="2"/>
        <v>5.2777777777777812E-2</v>
      </c>
      <c r="R10" s="21">
        <f t="shared" si="8"/>
        <v>0.53611111111111098</v>
      </c>
      <c r="S10" s="29">
        <v>176</v>
      </c>
      <c r="T10" s="29">
        <v>217</v>
      </c>
      <c r="U10" s="18">
        <f t="shared" si="9"/>
        <v>41</v>
      </c>
      <c r="V10" s="29">
        <v>275</v>
      </c>
      <c r="W10" s="18">
        <f t="shared" si="6"/>
        <v>621</v>
      </c>
      <c r="X10" s="29">
        <v>237</v>
      </c>
      <c r="Y10" s="18">
        <f t="shared" si="10"/>
        <v>573</v>
      </c>
      <c r="Z10" s="18">
        <f t="shared" si="3"/>
        <v>38</v>
      </c>
      <c r="AA10" s="29">
        <v>224</v>
      </c>
      <c r="AB10" s="29">
        <v>4</v>
      </c>
      <c r="AC10" s="29">
        <v>8</v>
      </c>
      <c r="AD10" s="29">
        <v>4</v>
      </c>
      <c r="AE10" s="29">
        <v>7</v>
      </c>
      <c r="AF10" s="29">
        <v>22</v>
      </c>
      <c r="AG10" s="29">
        <v>35</v>
      </c>
      <c r="AH10" s="19">
        <f t="shared" si="11"/>
        <v>13</v>
      </c>
    </row>
    <row r="11" spans="1:34" ht="13">
      <c r="A11" s="40" t="s">
        <v>52</v>
      </c>
      <c r="B11" s="31">
        <v>39307</v>
      </c>
      <c r="C11" s="5" t="s">
        <v>62</v>
      </c>
      <c r="D11" s="6"/>
      <c r="E11" s="4" t="s">
        <v>63</v>
      </c>
      <c r="F11" s="5">
        <v>162</v>
      </c>
      <c r="G11" s="17">
        <f t="shared" si="7"/>
        <v>898</v>
      </c>
      <c r="H11" s="11">
        <f>ROUND(PRODUCT(G11/8),0)</f>
        <v>112</v>
      </c>
      <c r="I11" s="11">
        <f>ROUND(PRODUCT(G11/COUNT(F4:F11)),0)</f>
        <v>150</v>
      </c>
      <c r="J11" s="43">
        <v>0.33402777777777781</v>
      </c>
      <c r="K11" s="21">
        <f t="shared" si="4"/>
        <v>1.8916666666666668</v>
      </c>
      <c r="L11" s="39">
        <f t="shared" si="0"/>
        <v>20.2</v>
      </c>
      <c r="M11" s="46">
        <v>52.6</v>
      </c>
      <c r="N11" s="43">
        <v>0.41666666666666669</v>
      </c>
      <c r="O11" s="21">
        <f t="shared" si="5"/>
        <v>2.5104166666666665</v>
      </c>
      <c r="P11" s="39">
        <f t="shared" si="1"/>
        <v>16.2</v>
      </c>
      <c r="Q11" s="21">
        <f t="shared" si="2"/>
        <v>8.2638888888888873E-2</v>
      </c>
      <c r="R11" s="21">
        <f t="shared" si="8"/>
        <v>0.61874999999999991</v>
      </c>
      <c r="S11" s="29">
        <v>217</v>
      </c>
      <c r="T11" s="29">
        <v>225</v>
      </c>
      <c r="U11" s="18">
        <f t="shared" si="9"/>
        <v>8</v>
      </c>
      <c r="V11" s="29">
        <v>522</v>
      </c>
      <c r="W11" s="18">
        <f t="shared" si="6"/>
        <v>1143</v>
      </c>
      <c r="X11" s="29">
        <v>523</v>
      </c>
      <c r="Y11" s="18">
        <f t="shared" si="10"/>
        <v>1096</v>
      </c>
      <c r="Z11" s="18">
        <f t="shared" si="3"/>
        <v>-1</v>
      </c>
      <c r="AA11" s="29">
        <v>272</v>
      </c>
      <c r="AB11" s="29">
        <v>5</v>
      </c>
      <c r="AC11" s="29">
        <v>12</v>
      </c>
      <c r="AD11" s="29">
        <v>4</v>
      </c>
      <c r="AE11" s="29">
        <v>9</v>
      </c>
      <c r="AF11" s="29">
        <v>20</v>
      </c>
      <c r="AG11" s="29">
        <v>33</v>
      </c>
      <c r="AH11" s="19">
        <f t="shared" si="11"/>
        <v>13</v>
      </c>
    </row>
    <row r="12" spans="1:34" ht="13">
      <c r="A12" s="40" t="s">
        <v>53</v>
      </c>
      <c r="B12" s="31">
        <v>39308</v>
      </c>
      <c r="C12" s="5" t="s">
        <v>63</v>
      </c>
      <c r="D12" s="6" t="s">
        <v>64</v>
      </c>
      <c r="E12" s="4" t="s">
        <v>65</v>
      </c>
      <c r="F12" s="5">
        <v>156</v>
      </c>
      <c r="G12" s="17">
        <f t="shared" si="7"/>
        <v>1054</v>
      </c>
      <c r="H12" s="11">
        <f>ROUND(PRODUCT(G12/9),0)</f>
        <v>117</v>
      </c>
      <c r="I12" s="11">
        <f>ROUND(PRODUCT(G12/COUNT(F4:F12)),0)</f>
        <v>151</v>
      </c>
      <c r="J12" s="43">
        <v>0.29930555555555555</v>
      </c>
      <c r="K12" s="21">
        <f t="shared" si="4"/>
        <v>2.1909722222222223</v>
      </c>
      <c r="L12" s="39">
        <f t="shared" si="0"/>
        <v>21.7</v>
      </c>
      <c r="M12" s="46">
        <v>50.6</v>
      </c>
      <c r="N12" s="43">
        <v>0.36458333333333331</v>
      </c>
      <c r="O12" s="21">
        <f t="shared" si="5"/>
        <v>2.875</v>
      </c>
      <c r="P12" s="39">
        <f t="shared" si="1"/>
        <v>17.8</v>
      </c>
      <c r="Q12" s="21">
        <f t="shared" si="2"/>
        <v>6.5277777777777768E-2</v>
      </c>
      <c r="R12" s="21">
        <f t="shared" si="8"/>
        <v>0.68402777777777768</v>
      </c>
      <c r="S12" s="29">
        <v>225</v>
      </c>
      <c r="T12" s="29">
        <v>237</v>
      </c>
      <c r="U12" s="18">
        <f t="shared" si="9"/>
        <v>12</v>
      </c>
      <c r="V12" s="29">
        <v>436</v>
      </c>
      <c r="W12" s="18">
        <f t="shared" si="6"/>
        <v>1579</v>
      </c>
      <c r="X12" s="29">
        <v>439</v>
      </c>
      <c r="Y12" s="18">
        <f t="shared" si="10"/>
        <v>1535</v>
      </c>
      <c r="Z12" s="18">
        <f t="shared" si="3"/>
        <v>-3</v>
      </c>
      <c r="AA12" s="29">
        <v>311</v>
      </c>
      <c r="AB12" s="29">
        <v>4</v>
      </c>
      <c r="AC12" s="29">
        <v>8</v>
      </c>
      <c r="AD12" s="29">
        <v>4</v>
      </c>
      <c r="AE12" s="29">
        <v>12</v>
      </c>
      <c r="AF12" s="29">
        <v>23</v>
      </c>
      <c r="AG12" s="29">
        <v>34</v>
      </c>
      <c r="AH12" s="19">
        <f t="shared" si="11"/>
        <v>11</v>
      </c>
    </row>
    <row r="13" spans="1:34" ht="13">
      <c r="A13" s="40" t="s">
        <v>5</v>
      </c>
      <c r="B13" s="31">
        <v>39309</v>
      </c>
      <c r="C13" s="5" t="s">
        <v>65</v>
      </c>
      <c r="D13" s="6"/>
      <c r="E13" s="4" t="s">
        <v>66</v>
      </c>
      <c r="F13" s="5">
        <v>195</v>
      </c>
      <c r="G13" s="17">
        <f t="shared" si="7"/>
        <v>1249</v>
      </c>
      <c r="H13" s="11">
        <f>ROUND(PRODUCT(G13/10),0)</f>
        <v>125</v>
      </c>
      <c r="I13" s="11">
        <f>ROUND(PRODUCT(G13/COUNT(F4:F13)),0)</f>
        <v>156</v>
      </c>
      <c r="J13" s="43">
        <v>0.41111111111111115</v>
      </c>
      <c r="K13" s="21">
        <f t="shared" si="4"/>
        <v>2.6020833333333333</v>
      </c>
      <c r="L13" s="39">
        <f t="shared" si="0"/>
        <v>19.8</v>
      </c>
      <c r="M13" s="46">
        <v>48.6</v>
      </c>
      <c r="N13" s="43">
        <v>0.4826388888888889</v>
      </c>
      <c r="O13" s="21">
        <f t="shared" si="5"/>
        <v>3.3576388888888888</v>
      </c>
      <c r="P13" s="39">
        <f t="shared" si="1"/>
        <v>16.8</v>
      </c>
      <c r="Q13" s="21">
        <f t="shared" si="2"/>
        <v>7.1527777777777746E-2</v>
      </c>
      <c r="R13" s="21">
        <f t="shared" si="8"/>
        <v>0.75555555555555542</v>
      </c>
      <c r="S13" s="29">
        <v>237</v>
      </c>
      <c r="T13" s="29">
        <v>127</v>
      </c>
      <c r="U13" s="18">
        <f t="shared" si="9"/>
        <v>-110</v>
      </c>
      <c r="V13" s="29">
        <v>330</v>
      </c>
      <c r="W13" s="18">
        <f t="shared" si="6"/>
        <v>1909</v>
      </c>
      <c r="X13" s="29">
        <v>454</v>
      </c>
      <c r="Y13" s="18">
        <f t="shared" si="10"/>
        <v>1989</v>
      </c>
      <c r="Z13" s="18">
        <f t="shared" si="3"/>
        <v>-124</v>
      </c>
      <c r="AA13" s="29">
        <v>250</v>
      </c>
      <c r="AB13" s="29">
        <v>4</v>
      </c>
      <c r="AC13" s="29">
        <v>10</v>
      </c>
      <c r="AD13" s="29">
        <v>4</v>
      </c>
      <c r="AE13" s="29">
        <v>5</v>
      </c>
      <c r="AF13" s="29">
        <v>21</v>
      </c>
      <c r="AG13" s="29">
        <v>34</v>
      </c>
      <c r="AH13" s="19">
        <f t="shared" si="11"/>
        <v>13</v>
      </c>
    </row>
    <row r="14" spans="1:34" ht="13">
      <c r="A14" s="40" t="s">
        <v>7</v>
      </c>
      <c r="B14" s="31">
        <v>39310</v>
      </c>
      <c r="C14" s="5" t="s">
        <v>66</v>
      </c>
      <c r="D14" s="6"/>
      <c r="E14" s="4" t="s">
        <v>67</v>
      </c>
      <c r="F14" s="5">
        <v>292</v>
      </c>
      <c r="G14" s="17">
        <f t="shared" si="7"/>
        <v>1541</v>
      </c>
      <c r="H14" s="11">
        <f>ROUND(PRODUCT(G14/11),0)</f>
        <v>140</v>
      </c>
      <c r="I14" s="11">
        <f>ROUND(PRODUCT(G14/COUNT(F4:F14)),0)</f>
        <v>171</v>
      </c>
      <c r="J14" s="43">
        <v>0.51180555555555551</v>
      </c>
      <c r="K14" s="21">
        <f t="shared" si="4"/>
        <v>3.1138888888888889</v>
      </c>
      <c r="L14" s="39">
        <f t="shared" si="0"/>
        <v>23.8</v>
      </c>
      <c r="M14" s="46">
        <v>54.5</v>
      </c>
      <c r="N14" s="43">
        <v>0.5625</v>
      </c>
      <c r="O14" s="21">
        <f t="shared" si="5"/>
        <v>3.9201388888888888</v>
      </c>
      <c r="P14" s="39">
        <f t="shared" si="1"/>
        <v>21.6</v>
      </c>
      <c r="Q14" s="21">
        <f t="shared" si="2"/>
        <v>5.0694444444444486E-2</v>
      </c>
      <c r="R14" s="21">
        <f t="shared" si="8"/>
        <v>0.80624999999999991</v>
      </c>
      <c r="S14" s="29">
        <v>127</v>
      </c>
      <c r="T14" s="29">
        <v>64</v>
      </c>
      <c r="U14" s="18">
        <f t="shared" si="9"/>
        <v>-63</v>
      </c>
      <c r="V14" s="29">
        <v>477</v>
      </c>
      <c r="W14" s="18">
        <f t="shared" si="6"/>
        <v>2386</v>
      </c>
      <c r="X14" s="29">
        <v>548</v>
      </c>
      <c r="Y14" s="18">
        <f t="shared" si="10"/>
        <v>2537</v>
      </c>
      <c r="Z14" s="18">
        <f t="shared" si="3"/>
        <v>-71</v>
      </c>
      <c r="AA14" s="29">
        <v>196</v>
      </c>
      <c r="AB14" s="29">
        <v>4</v>
      </c>
      <c r="AC14" s="29">
        <v>6</v>
      </c>
      <c r="AD14" s="29">
        <v>4</v>
      </c>
      <c r="AE14" s="29">
        <v>7</v>
      </c>
      <c r="AF14" s="29">
        <v>18</v>
      </c>
      <c r="AG14" s="29">
        <v>35</v>
      </c>
      <c r="AH14" s="19">
        <f t="shared" si="11"/>
        <v>17</v>
      </c>
    </row>
    <row r="15" spans="1:34" ht="13">
      <c r="A15" s="40" t="s">
        <v>35</v>
      </c>
      <c r="B15" s="31">
        <v>39311</v>
      </c>
      <c r="C15" s="5"/>
      <c r="D15" s="6" t="s">
        <v>67</v>
      </c>
      <c r="E15" s="4"/>
      <c r="F15" s="5"/>
      <c r="G15" s="17">
        <f t="shared" si="7"/>
        <v>1541</v>
      </c>
      <c r="H15" s="11">
        <f>ROUND(PRODUCT(G15/12),0)</f>
        <v>128</v>
      </c>
      <c r="I15" s="11">
        <f>ROUND(PRODUCT(G15/COUNT(F4:F15)),0)</f>
        <v>171</v>
      </c>
      <c r="J15" s="43"/>
      <c r="K15" s="21">
        <f t="shared" si="4"/>
        <v>3.1138888888888889</v>
      </c>
      <c r="L15" s="39">
        <f t="shared" si="0"/>
        <v>0</v>
      </c>
      <c r="M15" s="45"/>
      <c r="N15" s="43"/>
      <c r="O15" s="21">
        <f t="shared" si="5"/>
        <v>3.9201388888888888</v>
      </c>
      <c r="P15" s="39">
        <f t="shared" si="1"/>
        <v>0</v>
      </c>
      <c r="Q15" s="21">
        <f t="shared" si="2"/>
        <v>0</v>
      </c>
      <c r="R15" s="21">
        <f t="shared" si="8"/>
        <v>0.80624999999999991</v>
      </c>
      <c r="S15" s="11"/>
      <c r="T15" s="11"/>
      <c r="U15" s="18">
        <f t="shared" si="9"/>
        <v>0</v>
      </c>
      <c r="V15" s="11"/>
      <c r="W15" s="18">
        <f t="shared" si="6"/>
        <v>2386</v>
      </c>
      <c r="X15" s="11"/>
      <c r="Y15" s="18">
        <f t="shared" si="10"/>
        <v>2537</v>
      </c>
      <c r="Z15" s="18">
        <f t="shared" si="3"/>
        <v>0</v>
      </c>
      <c r="AA15" s="11"/>
      <c r="AB15" s="11"/>
      <c r="AC15" s="11"/>
      <c r="AD15" s="11"/>
      <c r="AE15" s="11"/>
      <c r="AF15" s="11"/>
      <c r="AG15" s="11"/>
      <c r="AH15" s="19">
        <f t="shared" si="11"/>
        <v>0</v>
      </c>
    </row>
    <row r="16" spans="1:34" ht="13">
      <c r="A16" s="40" t="s">
        <v>36</v>
      </c>
      <c r="B16" s="31">
        <v>39312</v>
      </c>
      <c r="C16" s="5" t="s">
        <v>67</v>
      </c>
      <c r="D16" s="6" t="s">
        <v>68</v>
      </c>
      <c r="E16" s="4" t="s">
        <v>69</v>
      </c>
      <c r="F16" s="5">
        <v>185</v>
      </c>
      <c r="G16" s="17">
        <f t="shared" si="7"/>
        <v>1726</v>
      </c>
      <c r="H16" s="11">
        <f>ROUND(PRODUCT(G16/13),0)</f>
        <v>133</v>
      </c>
      <c r="I16" s="11">
        <f>ROUND(PRODUCT(G16/COUNT(F4:F16)),0)</f>
        <v>173</v>
      </c>
      <c r="J16" s="43">
        <v>0.3833333333333333</v>
      </c>
      <c r="K16" s="21">
        <f t="shared" si="4"/>
        <v>3.4972222222222222</v>
      </c>
      <c r="L16" s="39">
        <f t="shared" si="0"/>
        <v>20.100000000000001</v>
      </c>
      <c r="M16" s="46">
        <v>48.6</v>
      </c>
      <c r="N16" s="43">
        <v>0.45833333333333331</v>
      </c>
      <c r="O16" s="21">
        <f t="shared" si="5"/>
        <v>4.3784722222222223</v>
      </c>
      <c r="P16" s="39">
        <f t="shared" si="1"/>
        <v>16.8</v>
      </c>
      <c r="Q16" s="21">
        <f t="shared" si="2"/>
        <v>7.5000000000000011E-2</v>
      </c>
      <c r="R16" s="21">
        <f t="shared" si="8"/>
        <v>0.88124999999999987</v>
      </c>
      <c r="S16" s="29">
        <v>64</v>
      </c>
      <c r="T16" s="29">
        <v>46</v>
      </c>
      <c r="U16" s="18">
        <f t="shared" si="9"/>
        <v>-18</v>
      </c>
      <c r="V16" s="29">
        <v>468</v>
      </c>
      <c r="W16" s="18">
        <f t="shared" si="6"/>
        <v>2854</v>
      </c>
      <c r="X16" s="29">
        <v>472</v>
      </c>
      <c r="Y16" s="18">
        <f t="shared" si="10"/>
        <v>3009</v>
      </c>
      <c r="Z16" s="18">
        <f t="shared" si="3"/>
        <v>-4</v>
      </c>
      <c r="AA16" s="29">
        <v>96</v>
      </c>
      <c r="AB16" s="29">
        <v>4</v>
      </c>
      <c r="AC16" s="29">
        <v>11</v>
      </c>
      <c r="AD16" s="29">
        <v>4</v>
      </c>
      <c r="AE16" s="29">
        <v>12</v>
      </c>
      <c r="AF16" s="29">
        <v>17</v>
      </c>
      <c r="AG16" s="29">
        <v>24</v>
      </c>
      <c r="AH16" s="19">
        <f t="shared" si="11"/>
        <v>7</v>
      </c>
    </row>
    <row r="17" spans="1:34" ht="13">
      <c r="A17" s="40" t="s">
        <v>37</v>
      </c>
      <c r="B17" s="31">
        <v>39313</v>
      </c>
      <c r="C17" s="5" t="s">
        <v>69</v>
      </c>
      <c r="D17" s="6" t="s">
        <v>70</v>
      </c>
      <c r="E17" s="4" t="s">
        <v>71</v>
      </c>
      <c r="F17" s="5">
        <v>161</v>
      </c>
      <c r="G17" s="17">
        <f t="shared" si="7"/>
        <v>1887</v>
      </c>
      <c r="H17" s="11">
        <f>ROUND(PRODUCT(G17/14),0)</f>
        <v>135</v>
      </c>
      <c r="I17" s="11">
        <f>ROUND(PRODUCT(G17/COUNT(F4:F17)),0)</f>
        <v>172</v>
      </c>
      <c r="J17" s="43">
        <v>0.35555555555555557</v>
      </c>
      <c r="K17" s="21">
        <f t="shared" si="4"/>
        <v>3.8527777777777779</v>
      </c>
      <c r="L17" s="39">
        <f t="shared" si="0"/>
        <v>18.899999999999999</v>
      </c>
      <c r="M17" s="46">
        <v>55.5</v>
      </c>
      <c r="N17" s="43">
        <v>0.42708333333333331</v>
      </c>
      <c r="O17" s="21">
        <f t="shared" si="5"/>
        <v>4.8055555555555554</v>
      </c>
      <c r="P17" s="39">
        <f t="shared" si="1"/>
        <v>15.7</v>
      </c>
      <c r="Q17" s="21">
        <f t="shared" si="2"/>
        <v>7.1527777777777746E-2</v>
      </c>
      <c r="R17" s="21">
        <f t="shared" si="8"/>
        <v>0.95277777777777761</v>
      </c>
      <c r="S17" s="29">
        <v>46</v>
      </c>
      <c r="T17" s="29">
        <v>51</v>
      </c>
      <c r="U17" s="18">
        <f t="shared" si="9"/>
        <v>5</v>
      </c>
      <c r="V17" s="29">
        <v>969</v>
      </c>
      <c r="W17" s="18">
        <f t="shared" si="6"/>
        <v>3823</v>
      </c>
      <c r="X17" s="29">
        <v>959</v>
      </c>
      <c r="Y17" s="18">
        <f t="shared" si="10"/>
        <v>3968</v>
      </c>
      <c r="Z17" s="18">
        <f t="shared" si="3"/>
        <v>10</v>
      </c>
      <c r="AA17" s="29">
        <v>109</v>
      </c>
      <c r="AB17" s="29">
        <v>5</v>
      </c>
      <c r="AC17" s="29">
        <v>15</v>
      </c>
      <c r="AD17" s="29">
        <v>4</v>
      </c>
      <c r="AE17" s="29">
        <v>8</v>
      </c>
      <c r="AF17" s="29">
        <v>16</v>
      </c>
      <c r="AG17" s="29">
        <v>29</v>
      </c>
      <c r="AH17" s="19">
        <f t="shared" si="11"/>
        <v>13</v>
      </c>
    </row>
    <row r="18" spans="1:34" ht="13">
      <c r="A18" s="40" t="s">
        <v>38</v>
      </c>
      <c r="B18" s="31">
        <v>39314</v>
      </c>
      <c r="C18" s="5" t="s">
        <v>71</v>
      </c>
      <c r="D18" s="6" t="s">
        <v>72</v>
      </c>
      <c r="E18" s="4" t="s">
        <v>73</v>
      </c>
      <c r="F18" s="5">
        <v>137</v>
      </c>
      <c r="G18" s="17">
        <f t="shared" si="7"/>
        <v>2024</v>
      </c>
      <c r="H18" s="11">
        <f>ROUND(PRODUCT(G18/15),0)</f>
        <v>135</v>
      </c>
      <c r="I18" s="11">
        <f>ROUND(PRODUCT(G18/COUNT(F4:F18)),0)</f>
        <v>169</v>
      </c>
      <c r="J18" s="43">
        <v>0.26597222222222222</v>
      </c>
      <c r="K18" s="21">
        <f t="shared" si="4"/>
        <v>4.1187500000000004</v>
      </c>
      <c r="L18" s="39">
        <f t="shared" si="0"/>
        <v>21.5</v>
      </c>
      <c r="M18" s="46">
        <v>56.3</v>
      </c>
      <c r="N18" s="43">
        <v>0.33333333333333331</v>
      </c>
      <c r="O18" s="21">
        <f t="shared" si="5"/>
        <v>5.1388888888888884</v>
      </c>
      <c r="P18" s="39">
        <f t="shared" si="1"/>
        <v>17.100000000000001</v>
      </c>
      <c r="Q18" s="21">
        <f t="shared" si="2"/>
        <v>6.7361111111111094E-2</v>
      </c>
      <c r="R18" s="21">
        <f t="shared" si="8"/>
        <v>1.0201388888888887</v>
      </c>
      <c r="S18" s="29">
        <v>51</v>
      </c>
      <c r="T18" s="29">
        <v>49</v>
      </c>
      <c r="U18" s="18">
        <f t="shared" si="9"/>
        <v>-2</v>
      </c>
      <c r="V18" s="29">
        <v>563</v>
      </c>
      <c r="W18" s="18">
        <f t="shared" si="6"/>
        <v>4386</v>
      </c>
      <c r="X18" s="29">
        <v>564</v>
      </c>
      <c r="Y18" s="18">
        <f t="shared" si="10"/>
        <v>4532</v>
      </c>
      <c r="Z18" s="18">
        <f t="shared" si="3"/>
        <v>-1</v>
      </c>
      <c r="AA18" s="29">
        <v>146</v>
      </c>
      <c r="AB18" s="29">
        <v>4</v>
      </c>
      <c r="AC18" s="29">
        <v>8</v>
      </c>
      <c r="AD18" s="29">
        <v>4</v>
      </c>
      <c r="AE18" s="29">
        <v>7</v>
      </c>
      <c r="AF18" s="29">
        <v>16</v>
      </c>
      <c r="AG18" s="29">
        <v>28</v>
      </c>
      <c r="AH18" s="19">
        <f t="shared" si="11"/>
        <v>12</v>
      </c>
    </row>
    <row r="19" spans="1:34" ht="13">
      <c r="A19" s="40" t="s">
        <v>39</v>
      </c>
      <c r="B19" s="31">
        <v>39315</v>
      </c>
      <c r="C19" s="5" t="s">
        <v>73</v>
      </c>
      <c r="D19" s="6"/>
      <c r="E19" s="4" t="s">
        <v>74</v>
      </c>
      <c r="F19" s="5">
        <v>163</v>
      </c>
      <c r="G19" s="17">
        <f t="shared" si="7"/>
        <v>2187</v>
      </c>
      <c r="H19" s="11">
        <f>ROUND(PRODUCT(G19/16),0)</f>
        <v>137</v>
      </c>
      <c r="I19" s="11">
        <f>ROUND(PRODUCT(G19/COUNT(F4:F19)),0)</f>
        <v>168</v>
      </c>
      <c r="J19" s="43">
        <v>0.3298611111111111</v>
      </c>
      <c r="K19" s="21">
        <f t="shared" si="4"/>
        <v>4.4486111111111111</v>
      </c>
      <c r="L19" s="39">
        <f t="shared" si="0"/>
        <v>20.6</v>
      </c>
      <c r="M19" s="46">
        <v>55.7</v>
      </c>
      <c r="N19" s="43">
        <v>0.38541666666666669</v>
      </c>
      <c r="O19" s="21">
        <f t="shared" si="5"/>
        <v>5.5243055555555554</v>
      </c>
      <c r="P19" s="39">
        <f t="shared" si="1"/>
        <v>17.600000000000001</v>
      </c>
      <c r="Q19" s="21">
        <f t="shared" si="2"/>
        <v>5.555555555555558E-2</v>
      </c>
      <c r="R19" s="21">
        <f t="shared" si="8"/>
        <v>1.0756944444444443</v>
      </c>
      <c r="S19" s="29">
        <v>49</v>
      </c>
      <c r="T19" s="29">
        <v>73</v>
      </c>
      <c r="U19" s="18">
        <f t="shared" si="9"/>
        <v>24</v>
      </c>
      <c r="V19" s="29">
        <v>715</v>
      </c>
      <c r="W19" s="18">
        <f t="shared" si="6"/>
        <v>5101</v>
      </c>
      <c r="X19" s="29">
        <v>685</v>
      </c>
      <c r="Y19" s="18">
        <f t="shared" si="10"/>
        <v>5217</v>
      </c>
      <c r="Z19" s="18">
        <f t="shared" si="3"/>
        <v>30</v>
      </c>
      <c r="AA19" s="29">
        <v>111</v>
      </c>
      <c r="AB19" s="29">
        <v>4</v>
      </c>
      <c r="AC19" s="29">
        <v>7</v>
      </c>
      <c r="AD19" s="29">
        <v>4</v>
      </c>
      <c r="AE19" s="29">
        <v>7</v>
      </c>
      <c r="AF19" s="29">
        <v>18</v>
      </c>
      <c r="AG19" s="29">
        <v>26</v>
      </c>
      <c r="AH19" s="19">
        <f t="shared" si="11"/>
        <v>8</v>
      </c>
    </row>
    <row r="20" spans="1:34" ht="13">
      <c r="A20" s="40" t="s">
        <v>40</v>
      </c>
      <c r="B20" s="31">
        <v>39316</v>
      </c>
      <c r="C20" s="5" t="s">
        <v>74</v>
      </c>
      <c r="D20" s="6"/>
      <c r="E20" s="4" t="s">
        <v>75</v>
      </c>
      <c r="F20" s="5">
        <v>175</v>
      </c>
      <c r="G20" s="17">
        <f t="shared" si="7"/>
        <v>2362</v>
      </c>
      <c r="H20" s="11">
        <f>ROUND(PRODUCT(G20/17),0)</f>
        <v>139</v>
      </c>
      <c r="I20" s="11">
        <f>ROUND(PRODUCT(G20/COUNT(F4:F20)),0)</f>
        <v>169</v>
      </c>
      <c r="J20" s="43">
        <v>0.35972222222222222</v>
      </c>
      <c r="K20" s="21">
        <f t="shared" si="4"/>
        <v>4.8083333333333336</v>
      </c>
      <c r="L20" s="39">
        <f t="shared" si="0"/>
        <v>20.3</v>
      </c>
      <c r="M20" s="46">
        <v>58.1</v>
      </c>
      <c r="N20" s="43">
        <v>0.44791666666666669</v>
      </c>
      <c r="O20" s="21">
        <f t="shared" si="5"/>
        <v>5.9722222222222223</v>
      </c>
      <c r="P20" s="39">
        <f t="shared" si="1"/>
        <v>16.3</v>
      </c>
      <c r="Q20" s="21">
        <f t="shared" si="2"/>
        <v>8.8194444444444464E-2</v>
      </c>
      <c r="R20" s="21">
        <f t="shared" si="8"/>
        <v>1.1638888888888888</v>
      </c>
      <c r="S20" s="29">
        <v>73</v>
      </c>
      <c r="T20" s="29">
        <v>-31</v>
      </c>
      <c r="U20" s="18">
        <f t="shared" si="9"/>
        <v>-104</v>
      </c>
      <c r="V20" s="29">
        <v>185</v>
      </c>
      <c r="W20" s="18">
        <f t="shared" si="6"/>
        <v>5286</v>
      </c>
      <c r="X20" s="29">
        <v>300</v>
      </c>
      <c r="Y20" s="18">
        <f t="shared" si="10"/>
        <v>5517</v>
      </c>
      <c r="Z20" s="18">
        <f t="shared" si="3"/>
        <v>-115</v>
      </c>
      <c r="AA20" s="29">
        <v>107</v>
      </c>
      <c r="AB20" s="29">
        <v>4</v>
      </c>
      <c r="AC20" s="29">
        <v>8</v>
      </c>
      <c r="AD20" s="29">
        <v>4</v>
      </c>
      <c r="AE20" s="29">
        <v>5</v>
      </c>
      <c r="AF20" s="29">
        <v>16</v>
      </c>
      <c r="AG20" s="29">
        <v>34</v>
      </c>
      <c r="AH20" s="19">
        <f t="shared" si="11"/>
        <v>18</v>
      </c>
    </row>
    <row r="21" spans="1:34" ht="13">
      <c r="A21" s="40" t="s">
        <v>41</v>
      </c>
      <c r="B21" s="31">
        <v>39317</v>
      </c>
      <c r="C21" s="5" t="s">
        <v>75</v>
      </c>
      <c r="D21" s="6" t="s">
        <v>76</v>
      </c>
      <c r="E21" s="4" t="s">
        <v>77</v>
      </c>
      <c r="F21" s="5">
        <v>195</v>
      </c>
      <c r="G21" s="17">
        <f t="shared" si="7"/>
        <v>2557</v>
      </c>
      <c r="H21" s="11">
        <f>ROUND(PRODUCT(G21/18),0)</f>
        <v>142</v>
      </c>
      <c r="I21" s="11">
        <f>ROUND(PRODUCT(G21/COUNT(F4:F21)),0)</f>
        <v>170</v>
      </c>
      <c r="J21" s="43">
        <v>0.39444444444444443</v>
      </c>
      <c r="K21" s="21">
        <f t="shared" si="4"/>
        <v>5.2027777777777784</v>
      </c>
      <c r="L21" s="39">
        <f t="shared" si="0"/>
        <v>20.6</v>
      </c>
      <c r="M21" s="46">
        <v>39.799999999999997</v>
      </c>
      <c r="N21" s="43">
        <v>0.44791666666666669</v>
      </c>
      <c r="O21" s="21">
        <f t="shared" si="5"/>
        <v>6.4201388888888893</v>
      </c>
      <c r="P21" s="39">
        <f t="shared" si="1"/>
        <v>18.100000000000001</v>
      </c>
      <c r="Q21" s="21">
        <f t="shared" si="2"/>
        <v>5.3472222222222254E-2</v>
      </c>
      <c r="R21" s="21">
        <f t="shared" si="8"/>
        <v>1.2173611111111109</v>
      </c>
      <c r="S21" s="29">
        <v>4</v>
      </c>
      <c r="T21" s="29">
        <v>86</v>
      </c>
      <c r="U21" s="18">
        <f t="shared" si="9"/>
        <v>82</v>
      </c>
      <c r="V21" s="29">
        <v>335</v>
      </c>
      <c r="W21" s="18">
        <f t="shared" si="6"/>
        <v>5621</v>
      </c>
      <c r="X21" s="29">
        <v>262</v>
      </c>
      <c r="Y21" s="18">
        <f t="shared" si="10"/>
        <v>5779</v>
      </c>
      <c r="Z21" s="18">
        <f t="shared" si="3"/>
        <v>73</v>
      </c>
      <c r="AA21" s="29">
        <v>88</v>
      </c>
      <c r="AB21" s="29">
        <v>4</v>
      </c>
      <c r="AC21" s="29">
        <v>7</v>
      </c>
      <c r="AD21" s="29">
        <v>4</v>
      </c>
      <c r="AE21" s="29">
        <v>7</v>
      </c>
      <c r="AF21" s="29">
        <v>15</v>
      </c>
      <c r="AG21" s="29">
        <v>27</v>
      </c>
      <c r="AH21" s="19">
        <f t="shared" si="11"/>
        <v>12</v>
      </c>
    </row>
    <row r="22" spans="1:34" ht="13">
      <c r="A22" s="40" t="s">
        <v>42</v>
      </c>
      <c r="B22" s="31">
        <v>39318</v>
      </c>
      <c r="C22" s="5" t="s">
        <v>77</v>
      </c>
      <c r="D22" s="6" t="s">
        <v>78</v>
      </c>
      <c r="E22" s="4" t="s">
        <v>79</v>
      </c>
      <c r="F22" s="5">
        <v>225</v>
      </c>
      <c r="G22" s="17">
        <f t="shared" si="7"/>
        <v>2782</v>
      </c>
      <c r="H22" s="11">
        <f>ROUND(PRODUCT(G22/19),0)</f>
        <v>146</v>
      </c>
      <c r="I22" s="11">
        <f>ROUND(PRODUCT(G22/COUNT(F4:F22)),0)</f>
        <v>174</v>
      </c>
      <c r="J22" s="43">
        <v>0.52847222222222223</v>
      </c>
      <c r="K22" s="21">
        <f t="shared" si="4"/>
        <v>5.7312500000000011</v>
      </c>
      <c r="L22" s="39">
        <f t="shared" si="0"/>
        <v>17.7</v>
      </c>
      <c r="M22" s="46">
        <v>48.6</v>
      </c>
      <c r="N22" s="43">
        <v>0.63541666666666663</v>
      </c>
      <c r="O22" s="21">
        <f t="shared" si="5"/>
        <v>7.0555555555555562</v>
      </c>
      <c r="P22" s="39">
        <f t="shared" si="1"/>
        <v>14.8</v>
      </c>
      <c r="Q22" s="21">
        <f t="shared" si="2"/>
        <v>0.1069444444444444</v>
      </c>
      <c r="R22" s="21">
        <f t="shared" si="8"/>
        <v>1.3243055555555552</v>
      </c>
      <c r="S22" s="29">
        <v>86</v>
      </c>
      <c r="T22" s="29">
        <v>462</v>
      </c>
      <c r="U22" s="18">
        <f t="shared" si="9"/>
        <v>376</v>
      </c>
      <c r="V22" s="29">
        <v>1086</v>
      </c>
      <c r="W22" s="18">
        <f t="shared" si="6"/>
        <v>6707</v>
      </c>
      <c r="X22" s="29">
        <v>713</v>
      </c>
      <c r="Y22" s="18">
        <f t="shared" si="10"/>
        <v>6492</v>
      </c>
      <c r="Z22" s="18">
        <f t="shared" si="3"/>
        <v>373</v>
      </c>
      <c r="AA22" s="29">
        <v>508</v>
      </c>
      <c r="AB22" s="29">
        <v>4</v>
      </c>
      <c r="AC22" s="29">
        <v>11</v>
      </c>
      <c r="AD22" s="29">
        <v>4</v>
      </c>
      <c r="AE22" s="29">
        <v>7</v>
      </c>
      <c r="AF22" s="29">
        <v>9</v>
      </c>
      <c r="AG22" s="29">
        <v>29</v>
      </c>
      <c r="AH22" s="19">
        <f t="shared" si="11"/>
        <v>20</v>
      </c>
    </row>
    <row r="23" spans="1:34" ht="13">
      <c r="A23" s="30" t="s">
        <v>6</v>
      </c>
      <c r="B23" s="55"/>
      <c r="C23" s="56"/>
      <c r="D23" s="56"/>
      <c r="E23" s="57"/>
      <c r="F23" s="32">
        <f>SUM(F4:F22)</f>
        <v>2782</v>
      </c>
      <c r="G23" s="22">
        <f>SUM(G22)</f>
        <v>2782</v>
      </c>
      <c r="H23" s="22">
        <f>SUM(H22)</f>
        <v>146</v>
      </c>
      <c r="I23" s="22">
        <f>SUM(I22)</f>
        <v>174</v>
      </c>
      <c r="J23" s="23">
        <f>SUM(J4:J22)</f>
        <v>5.7312500000000011</v>
      </c>
      <c r="K23" s="35">
        <f>F23/SUM(HOUR(J23)+(ROUNDDOWN(J23,0)*24),PRODUCT(MINUTE(J23)/60))</f>
        <v>20.225372591784804</v>
      </c>
      <c r="L23" s="38">
        <f>SUM(L4:L22)/COUNT(F4:F22)</f>
        <v>20.231250000000003</v>
      </c>
      <c r="M23" s="47">
        <f>PRODUCT(SUM(M4:M22),1/COUNT(M4:M22))</f>
        <v>46.400000000000006</v>
      </c>
      <c r="N23" s="23">
        <f>SUM(N4:N22)</f>
        <v>7.0555555555555562</v>
      </c>
      <c r="O23" s="35">
        <f>F23/SUM(HOUR(N23)+(ROUNDDOWN(N23,0)*24),PRODUCT(MINUTE(N23)/60))</f>
        <v>16.429133858267715</v>
      </c>
      <c r="P23" s="38">
        <f>SUM(P4:P22)/COUNT(F4:F22)</f>
        <v>16.306249999999999</v>
      </c>
      <c r="Q23" s="23">
        <f>SUM(Q4:Q22)</f>
        <v>1.3243055555555552</v>
      </c>
      <c r="R23" s="22"/>
      <c r="S23" s="22">
        <f>ROUND(SUM(S4:S22)/COUNT(S4:S22),0)</f>
        <v>124</v>
      </c>
      <c r="T23" s="22">
        <f>ROUND(SUM(T4:T22)/COUNT(T4:T22),0)</f>
        <v>141</v>
      </c>
      <c r="U23" s="24">
        <f>SUM(U4:U22)</f>
        <v>278</v>
      </c>
      <c r="V23" s="22">
        <f>ROUND(SUM(V4:V22)/COUNT(V4:V22),0)</f>
        <v>419</v>
      </c>
      <c r="W23" s="22">
        <f>SUM(W22)</f>
        <v>6707</v>
      </c>
      <c r="X23" s="22">
        <f>ROUND(SUM(X4:X22)/COUNT(V4:V22),0)</f>
        <v>406</v>
      </c>
      <c r="Y23" s="22">
        <f>SUM(Y22)</f>
        <v>6492</v>
      </c>
      <c r="Z23" s="24">
        <f>SUM(Z4:Z22)</f>
        <v>215</v>
      </c>
      <c r="AA23" s="22">
        <f>ROUND(SUM(AA4:AA22)/COUNT(AA4:AA22),0)</f>
        <v>195</v>
      </c>
      <c r="AB23" s="34">
        <f t="shared" ref="AB23:AG23" si="12">SUM(AB4:AB22)/COUNT(AB4:AB22)</f>
        <v>4</v>
      </c>
      <c r="AC23" s="34">
        <f t="shared" si="12"/>
        <v>8.25</v>
      </c>
      <c r="AD23" s="34">
        <f t="shared" si="12"/>
        <v>3.9375</v>
      </c>
      <c r="AE23" s="34">
        <f t="shared" si="12"/>
        <v>7.25</v>
      </c>
      <c r="AF23" s="34">
        <f t="shared" si="12"/>
        <v>18.0625</v>
      </c>
      <c r="AG23" s="34">
        <f t="shared" si="12"/>
        <v>31.1875</v>
      </c>
      <c r="AH23" s="34">
        <f>SUM(AH4:AH22)/COUNT(AG4:AG22)</f>
        <v>13.125</v>
      </c>
    </row>
    <row r="24" spans="1:34" ht="13">
      <c r="Q24" s="11"/>
      <c r="R24" s="11"/>
      <c r="S24" s="11"/>
      <c r="W24" s="18"/>
      <c r="Y24" s="18"/>
    </row>
    <row r="25" spans="1:34" ht="13">
      <c r="O25" s="11"/>
      <c r="P25" s="11"/>
      <c r="Q25" s="11"/>
      <c r="R25" s="33"/>
      <c r="S25" s="11"/>
      <c r="T25" s="11"/>
      <c r="U25" s="11"/>
      <c r="V25" s="11"/>
      <c r="W25" s="18"/>
      <c r="X25" s="11"/>
      <c r="Y25" s="18"/>
      <c r="Z25" s="11"/>
      <c r="AA25" s="11"/>
    </row>
    <row r="26" spans="1:34" ht="13">
      <c r="N26" s="37"/>
      <c r="O26" s="11"/>
      <c r="P26" s="11"/>
      <c r="Q26" s="36"/>
      <c r="R26" s="36"/>
      <c r="S26" s="11"/>
      <c r="T26" s="11"/>
      <c r="U26" s="11"/>
      <c r="V26" s="11"/>
      <c r="W26" s="11"/>
      <c r="X26" s="11"/>
      <c r="Y26" s="11"/>
      <c r="Z26" s="11"/>
      <c r="AA26" s="11"/>
    </row>
    <row r="27" spans="1:34" ht="13">
      <c r="O27" s="11"/>
      <c r="P27" s="11"/>
      <c r="Q27" s="36"/>
      <c r="R27" s="36"/>
      <c r="S27" s="11"/>
      <c r="T27" s="11"/>
      <c r="U27" s="11"/>
      <c r="V27" s="11"/>
      <c r="W27" s="11"/>
      <c r="X27" s="11"/>
      <c r="Y27" s="11"/>
      <c r="Z27" s="11"/>
      <c r="AA27" s="11"/>
    </row>
    <row r="28" spans="1:34" ht="13">
      <c r="O28" s="11"/>
      <c r="P28" s="11"/>
      <c r="Q28" s="11"/>
      <c r="R28" s="36"/>
      <c r="S28" s="11"/>
      <c r="T28" s="11"/>
      <c r="U28" s="11"/>
      <c r="V28" s="11"/>
      <c r="W28" s="11"/>
      <c r="X28" s="11"/>
      <c r="Y28" s="11"/>
      <c r="Z28" s="11"/>
      <c r="AA28" s="11"/>
    </row>
    <row r="29" spans="1:34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</sheetData>
  <mergeCells count="4">
    <mergeCell ref="A1:F1"/>
    <mergeCell ref="A2:F2"/>
    <mergeCell ref="G1:AH1"/>
    <mergeCell ref="B23:E2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C005-7D9E-40D3-948F-FF189AD5377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6493-C61B-4DC0-B150-3F50E9C5E48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2025-11-12T20:07:46Z</dcterms:modified>
</cp:coreProperties>
</file>