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DieseArbeitsmappe" defaultThemeVersion="202300"/>
  <mc:AlternateContent xmlns:mc="http://schemas.openxmlformats.org/markup-compatibility/2006">
    <mc:Choice Requires="x15">
      <x15ac:absPath xmlns:x15ac="http://schemas.microsoft.com/office/spreadsheetml/2010/11/ac" url="C:\Users\chris\Documents\V - My Sports\Bike\0000 Radstrecken\tour 001-120\"/>
    </mc:Choice>
  </mc:AlternateContent>
  <xr:revisionPtr revIDLastSave="0" documentId="8_{3F6730CA-1406-4FF8-A7CE-7DB9D593D296}" xr6:coauthVersionLast="47" xr6:coauthVersionMax="47" xr10:uidLastSave="{00000000-0000-0000-0000-000000000000}"/>
  <bookViews>
    <workbookView xWindow="-110" yWindow="-110" windowWidth="19420" windowHeight="10420" xr2:uid="{0921D197-1B17-4B8E-B914-72A51D1632F0}"/>
  </bookViews>
  <sheets>
    <sheet name="Tabelle1" sheetId="1" r:id="rId1"/>
    <sheet name="Tabelle2" sheetId="2" r:id="rId2"/>
    <sheet name="Tabelle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" i="1" l="1"/>
  <c r="H4" i="1" s="1"/>
  <c r="K4" i="1"/>
  <c r="L4" i="1"/>
  <c r="O4" i="1"/>
  <c r="O5" i="1" s="1"/>
  <c r="O6" i="1" s="1"/>
  <c r="O7" i="1" s="1"/>
  <c r="O8" i="1" s="1"/>
  <c r="O9" i="1" s="1"/>
  <c r="O10" i="1" s="1"/>
  <c r="O11" i="1" s="1"/>
  <c r="O12" i="1" s="1"/>
  <c r="O13" i="1" s="1"/>
  <c r="O14" i="1" s="1"/>
  <c r="P4" i="1"/>
  <c r="Q4" i="1"/>
  <c r="R4" i="1" s="1"/>
  <c r="R5" i="1" s="1"/>
  <c r="R6" i="1" s="1"/>
  <c r="R7" i="1" s="1"/>
  <c r="R8" i="1" s="1"/>
  <c r="R9" i="1" s="1"/>
  <c r="U4" i="1"/>
  <c r="W4" i="1"/>
  <c r="X4" i="1"/>
  <c r="Y4" i="1"/>
  <c r="Y5" i="1" s="1"/>
  <c r="Y6" i="1" s="1"/>
  <c r="Y7" i="1" s="1"/>
  <c r="Y8" i="1" s="1"/>
  <c r="Y9" i="1" s="1"/>
  <c r="Y10" i="1" s="1"/>
  <c r="Y11" i="1" s="1"/>
  <c r="Y12" i="1" s="1"/>
  <c r="Y13" i="1" s="1"/>
  <c r="Y14" i="1" s="1"/>
  <c r="Y15" i="1" s="1"/>
  <c r="Z4" i="1"/>
  <c r="AH4" i="1"/>
  <c r="AH15" i="1" s="1"/>
  <c r="G5" i="1"/>
  <c r="H5" i="1" s="1"/>
  <c r="K5" i="1"/>
  <c r="L5" i="1"/>
  <c r="P5" i="1"/>
  <c r="Q5" i="1"/>
  <c r="U5" i="1"/>
  <c r="W5" i="1"/>
  <c r="W6" i="1" s="1"/>
  <c r="W7" i="1" s="1"/>
  <c r="W8" i="1" s="1"/>
  <c r="W9" i="1" s="1"/>
  <c r="W10" i="1" s="1"/>
  <c r="W11" i="1" s="1"/>
  <c r="W12" i="1" s="1"/>
  <c r="W13" i="1" s="1"/>
  <c r="W14" i="1" s="1"/>
  <c r="W15" i="1" s="1"/>
  <c r="X5" i="1"/>
  <c r="Z5" i="1"/>
  <c r="AH5" i="1"/>
  <c r="K6" i="1"/>
  <c r="K7" i="1" s="1"/>
  <c r="K8" i="1" s="1"/>
  <c r="K9" i="1" s="1"/>
  <c r="K10" i="1" s="1"/>
  <c r="K11" i="1" s="1"/>
  <c r="K12" i="1" s="1"/>
  <c r="K13" i="1" s="1"/>
  <c r="K14" i="1" s="1"/>
  <c r="L6" i="1"/>
  <c r="P6" i="1"/>
  <c r="Q6" i="1"/>
  <c r="U6" i="1"/>
  <c r="U15" i="1" s="1"/>
  <c r="X6" i="1"/>
  <c r="Z6" i="1"/>
  <c r="AH6" i="1"/>
  <c r="L7" i="1"/>
  <c r="P7" i="1"/>
  <c r="Q7" i="1"/>
  <c r="U7" i="1"/>
  <c r="X7" i="1"/>
  <c r="Z7" i="1"/>
  <c r="AH7" i="1"/>
  <c r="L8" i="1"/>
  <c r="P8" i="1"/>
  <c r="Q8" i="1"/>
  <c r="U8" i="1"/>
  <c r="X8" i="1"/>
  <c r="Z8" i="1" s="1"/>
  <c r="AH8" i="1"/>
  <c r="L9" i="1"/>
  <c r="L15" i="1" s="1"/>
  <c r="P9" i="1"/>
  <c r="Q9" i="1"/>
  <c r="U9" i="1"/>
  <c r="X9" i="1"/>
  <c r="Z9" i="1" s="1"/>
  <c r="AH9" i="1"/>
  <c r="L10" i="1"/>
  <c r="P10" i="1"/>
  <c r="Q10" i="1"/>
  <c r="U10" i="1"/>
  <c r="X10" i="1"/>
  <c r="Z10" i="1"/>
  <c r="AH10" i="1"/>
  <c r="L11" i="1"/>
  <c r="P11" i="1"/>
  <c r="Q11" i="1"/>
  <c r="U11" i="1"/>
  <c r="X11" i="1"/>
  <c r="Z11" i="1"/>
  <c r="AH11" i="1"/>
  <c r="L12" i="1"/>
  <c r="P12" i="1"/>
  <c r="Q12" i="1"/>
  <c r="U12" i="1"/>
  <c r="X12" i="1"/>
  <c r="Z12" i="1"/>
  <c r="AH12" i="1"/>
  <c r="L13" i="1"/>
  <c r="P13" i="1"/>
  <c r="Q13" i="1"/>
  <c r="U13" i="1"/>
  <c r="X13" i="1"/>
  <c r="Z13" i="1"/>
  <c r="AH13" i="1"/>
  <c r="L14" i="1"/>
  <c r="P14" i="1"/>
  <c r="Q14" i="1"/>
  <c r="U14" i="1"/>
  <c r="X14" i="1"/>
  <c r="Z14" i="1"/>
  <c r="AH14" i="1"/>
  <c r="F15" i="1"/>
  <c r="K15" i="1" s="1"/>
  <c r="J15" i="1"/>
  <c r="M15" i="1"/>
  <c r="N15" i="1"/>
  <c r="O15" i="1"/>
  <c r="P15" i="1"/>
  <c r="S15" i="1"/>
  <c r="T15" i="1"/>
  <c r="V15" i="1"/>
  <c r="AA15" i="1"/>
  <c r="AB15" i="1"/>
  <c r="AC15" i="1"/>
  <c r="AD15" i="1"/>
  <c r="AE15" i="1"/>
  <c r="AF15" i="1"/>
  <c r="AG15" i="1"/>
  <c r="R10" i="1" l="1"/>
  <c r="R11" i="1" s="1"/>
  <c r="R12" i="1" s="1"/>
  <c r="R13" i="1" s="1"/>
  <c r="R14" i="1" s="1"/>
  <c r="Z15" i="1"/>
  <c r="I4" i="1"/>
  <c r="X15" i="1"/>
  <c r="G6" i="1"/>
  <c r="I5" i="1"/>
  <c r="Q15" i="1"/>
  <c r="I6" i="1" l="1"/>
  <c r="G7" i="1"/>
  <c r="H6" i="1"/>
  <c r="I7" i="1" l="1"/>
  <c r="H7" i="1"/>
  <c r="G8" i="1"/>
  <c r="H8" i="1" l="1"/>
  <c r="I8" i="1"/>
  <c r="G9" i="1"/>
  <c r="I9" i="1" l="1"/>
  <c r="G10" i="1"/>
  <c r="H9" i="1"/>
  <c r="G11" i="1" l="1"/>
  <c r="H10" i="1"/>
  <c r="I10" i="1"/>
  <c r="G12" i="1" l="1"/>
  <c r="H11" i="1"/>
  <c r="I11" i="1"/>
  <c r="H12" i="1" l="1"/>
  <c r="I12" i="1"/>
  <c r="G13" i="1"/>
  <c r="H13" i="1" l="1"/>
  <c r="I13" i="1"/>
  <c r="G14" i="1"/>
  <c r="I14" i="1" l="1"/>
  <c r="I15" i="1" s="1"/>
  <c r="G15" i="1"/>
  <c r="H14" i="1"/>
  <c r="H15" i="1" s="1"/>
</calcChain>
</file>

<file path=xl/sharedStrings.xml><?xml version="1.0" encoding="utf-8"?>
<sst xmlns="http://schemas.openxmlformats.org/spreadsheetml/2006/main" count="81" uniqueCount="71">
  <si>
    <t>Tag</t>
  </si>
  <si>
    <t>Datum</t>
  </si>
  <si>
    <t>Start</t>
  </si>
  <si>
    <t>Zwischenstationen</t>
  </si>
  <si>
    <t>Ziel</t>
  </si>
  <si>
    <t>10.</t>
  </si>
  <si>
    <t>Summe</t>
  </si>
  <si>
    <t>11.</t>
  </si>
  <si>
    <t>Fahrzeit</t>
  </si>
  <si>
    <t>Höhe Beginn</t>
  </si>
  <si>
    <t>Höhe Ende</t>
  </si>
  <si>
    <t>Max. Höhe</t>
  </si>
  <si>
    <t>Hm aufw</t>
  </si>
  <si>
    <t>Hm abw</t>
  </si>
  <si>
    <t>Gesamtzeit</t>
  </si>
  <si>
    <t>Pausenzeit</t>
  </si>
  <si>
    <t>Max.Temp.</t>
  </si>
  <si>
    <t xml:space="preserve">Min.Temp. </t>
  </si>
  <si>
    <t>Ø Steigung</t>
  </si>
  <si>
    <t>max.Steigung</t>
  </si>
  <si>
    <t>Ø Gefälle</t>
  </si>
  <si>
    <t>max.Gefälle</t>
  </si>
  <si>
    <t>km</t>
  </si>
  <si>
    <t>km/Tag</t>
  </si>
  <si>
    <t>km/Fahrtag</t>
  </si>
  <si>
    <t>max. km/h</t>
  </si>
  <si>
    <t>Σ km</t>
  </si>
  <si>
    <t>Σ Hm aufw</t>
  </si>
  <si>
    <t>Δ Temp.</t>
  </si>
  <si>
    <t>Σ Hm abw</t>
  </si>
  <si>
    <t>Δ Hmauf-abw</t>
  </si>
  <si>
    <t>Δ Beg./Ende</t>
  </si>
  <si>
    <t>Σ Fahrzeit</t>
  </si>
  <si>
    <t>Σ Gesamtzeit</t>
  </si>
  <si>
    <t>Σ Pausenzeit</t>
  </si>
  <si>
    <t>km/h brutto</t>
  </si>
  <si>
    <t>km/h netto</t>
  </si>
  <si>
    <t>01.</t>
  </si>
  <si>
    <t>02.</t>
  </si>
  <si>
    <t>03.</t>
  </si>
  <si>
    <t>04.</t>
  </si>
  <si>
    <t>05.</t>
  </si>
  <si>
    <t>06.</t>
  </si>
  <si>
    <t>07.</t>
  </si>
  <si>
    <t>08.</t>
  </si>
  <si>
    <t>09.</t>
  </si>
  <si>
    <t>Budapest - Kosovo - Stara Zagora (10.-20.9.2008)</t>
  </si>
  <si>
    <r>
      <t>Statistik</t>
    </r>
    <r>
      <rPr>
        <b/>
        <sz val="20"/>
        <rFont val="Arial"/>
        <family val="2"/>
      </rPr>
      <t xml:space="preserve"> Budapest - Kosovo - Stara Zagora (10.-20.9.2008)</t>
    </r>
  </si>
  <si>
    <t>Budapest</t>
  </si>
  <si>
    <t>Ráckeve</t>
  </si>
  <si>
    <t>Kalocsa</t>
  </si>
  <si>
    <t>Hajós - Mohács-Fähre - Udvar - Grenze Ungarn/Kroatien</t>
  </si>
  <si>
    <t>Osijek</t>
  </si>
  <si>
    <t>Vukovar - Grenze Kroatien/Serbien - Novi Sad</t>
  </si>
  <si>
    <t>Stara Pazova</t>
  </si>
  <si>
    <t>Belgrad - Smederevo - Osipaonica</t>
  </si>
  <si>
    <t>Veliko Gradište</t>
  </si>
  <si>
    <t>Donau-Durchbruch Eisernes Tor</t>
  </si>
  <si>
    <t>Kladovo</t>
  </si>
  <si>
    <t>Negotin - Zaječar</t>
  </si>
  <si>
    <t>Knjaževac</t>
  </si>
  <si>
    <t>Tresibaba (787 m) - Niš - Grenze Serbien/Kosovo</t>
  </si>
  <si>
    <t>Prishtina</t>
  </si>
  <si>
    <t>Gračanica - Muqibaba (880 m) - Kaçanik - Grenze Kosovo/Mazedonien</t>
  </si>
  <si>
    <t>Skopje</t>
  </si>
  <si>
    <t>Kumanovo - Kriva Palanka - Velbăždki Prohod (1162 m) Grenze Mazedonien/Bulgarien</t>
  </si>
  <si>
    <t>Kjustendil</t>
  </si>
  <si>
    <t>Klisurski Prohod (1025 m) - Borovets (1350 m)</t>
  </si>
  <si>
    <t>Pazardzhik</t>
  </si>
  <si>
    <t>Plovdiv</t>
  </si>
  <si>
    <t>Stara Zagora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</si>
</sst>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7" formatCode="[h]:mm"/>
    <numFmt numFmtId="180" formatCode="0.0"/>
  </numFmts>
  <fonts count="10">
    <font>
      <sz val="10"/>
      <name val="Arial"/>
    </font>
    <font>
      <b/>
      <sz val="10"/>
      <name val="Arial"/>
      <family val="2"/>
    </font>
    <font>
      <b/>
      <i/>
      <sz val="10"/>
      <name val="Arial"/>
      <family val="2"/>
    </font>
    <font>
      <b/>
      <sz val="20"/>
      <name val="Arial"/>
      <family val="2"/>
    </font>
    <font>
      <sz val="10"/>
      <name val="Arial"/>
      <family val="2"/>
    </font>
    <font>
      <b/>
      <sz val="9"/>
      <name val="Times New Roman"/>
      <family val="1"/>
    </font>
    <font>
      <b/>
      <sz val="8"/>
      <name val="Times New Roman"/>
      <family val="1"/>
    </font>
    <font>
      <b/>
      <sz val="9"/>
      <name val="WP CyrillicA"/>
    </font>
    <font>
      <i/>
      <sz val="10"/>
      <name val="Arial"/>
      <family val="2"/>
    </font>
    <font>
      <b/>
      <i/>
      <sz val="2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right" wrapText="1"/>
    </xf>
    <xf numFmtId="0" fontId="4" fillId="0" borderId="1" xfId="0" applyFont="1" applyBorder="1" applyAlignment="1">
      <alignment horizontal="center" wrapText="1"/>
    </xf>
    <xf numFmtId="0" fontId="5" fillId="0" borderId="0" xfId="0" applyFont="1" applyBorder="1" applyAlignment="1">
      <alignment vertical="top" wrapText="1"/>
    </xf>
    <xf numFmtId="0" fontId="6" fillId="0" borderId="0" xfId="0" applyFont="1" applyBorder="1" applyAlignment="1">
      <alignment vertical="top" wrapText="1"/>
    </xf>
    <xf numFmtId="0" fontId="6" fillId="0" borderId="0" xfId="0" applyFont="1" applyBorder="1" applyAlignment="1">
      <alignment wrapText="1"/>
    </xf>
    <xf numFmtId="0" fontId="7" fillId="0" borderId="0" xfId="0" applyFont="1" applyBorder="1" applyAlignment="1">
      <alignment wrapText="1"/>
    </xf>
    <xf numFmtId="0" fontId="0" fillId="0" borderId="0" xfId="0" applyBorder="1"/>
    <xf numFmtId="21" fontId="5" fillId="0" borderId="0" xfId="0" applyNumberFormat="1" applyFont="1" applyBorder="1" applyAlignment="1">
      <alignment vertical="top" wrapText="1"/>
    </xf>
    <xf numFmtId="0" fontId="0" fillId="0" borderId="2" xfId="0" applyBorder="1"/>
    <xf numFmtId="0" fontId="0" fillId="0" borderId="3" xfId="0" applyBorder="1"/>
    <xf numFmtId="0" fontId="8" fillId="0" borderId="3" xfId="0" applyFont="1" applyBorder="1"/>
    <xf numFmtId="0" fontId="8" fillId="0" borderId="4" xfId="0" applyFont="1" applyBorder="1"/>
    <xf numFmtId="0" fontId="0" fillId="0" borderId="5" xfId="0" applyBorder="1"/>
    <xf numFmtId="0" fontId="8" fillId="0" borderId="0" xfId="0" applyFont="1" applyBorder="1"/>
    <xf numFmtId="0" fontId="8" fillId="0" borderId="6" xfId="0" applyFont="1" applyBorder="1"/>
    <xf numFmtId="177" fontId="8" fillId="0" borderId="3" xfId="0" applyNumberFormat="1" applyFont="1" applyBorder="1"/>
    <xf numFmtId="177" fontId="8" fillId="0" borderId="0" xfId="0" applyNumberFormat="1" applyFont="1" applyBorder="1"/>
    <xf numFmtId="0" fontId="1" fillId="0" borderId="1" xfId="0" applyFont="1" applyBorder="1"/>
    <xf numFmtId="177" fontId="1" fillId="0" borderId="1" xfId="0" applyNumberFormat="1" applyFont="1" applyBorder="1"/>
    <xf numFmtId="0" fontId="1" fillId="0" borderId="1" xfId="0" applyFont="1" applyFill="1" applyBorder="1"/>
    <xf numFmtId="0" fontId="2" fillId="0" borderId="1" xfId="0" applyFont="1" applyBorder="1" applyAlignment="1">
      <alignment textRotation="90"/>
    </xf>
    <xf numFmtId="0" fontId="2" fillId="0" borderId="1" xfId="0" applyFont="1" applyFill="1" applyBorder="1" applyAlignment="1">
      <alignment textRotation="90"/>
    </xf>
    <xf numFmtId="0" fontId="2" fillId="0" borderId="1" xfId="0" applyFont="1" applyBorder="1" applyAlignment="1">
      <alignment textRotation="90" wrapText="1"/>
    </xf>
    <xf numFmtId="0" fontId="2" fillId="0" borderId="1" xfId="0" applyFont="1" applyFill="1" applyBorder="1" applyAlignment="1">
      <alignment textRotation="90" wrapText="1"/>
    </xf>
    <xf numFmtId="0" fontId="0" fillId="0" borderId="0" xfId="0" applyFill="1" applyBorder="1"/>
    <xf numFmtId="0" fontId="8" fillId="0" borderId="0" xfId="0" applyFont="1" applyFill="1" applyBorder="1"/>
    <xf numFmtId="0" fontId="2" fillId="0" borderId="1" xfId="0" applyFont="1" applyBorder="1" applyAlignment="1">
      <alignment horizontal="center" vertical="top" wrapText="1"/>
    </xf>
    <xf numFmtId="14" fontId="4" fillId="0" borderId="1" xfId="0" applyNumberFormat="1" applyFont="1" applyBorder="1" applyAlignment="1">
      <alignment horizontal="center" wrapText="1"/>
    </xf>
    <xf numFmtId="0" fontId="1" fillId="0" borderId="1" xfId="0" applyFont="1" applyBorder="1" applyAlignment="1">
      <alignment horizontal="right" vertical="center" wrapText="1"/>
    </xf>
    <xf numFmtId="0" fontId="1" fillId="0" borderId="0" xfId="0" applyFont="1" applyBorder="1"/>
    <xf numFmtId="180" fontId="0" fillId="0" borderId="3" xfId="0" applyNumberFormat="1" applyBorder="1"/>
    <xf numFmtId="1" fontId="1" fillId="0" borderId="1" xfId="0" applyNumberFormat="1" applyFont="1" applyFill="1" applyBorder="1"/>
    <xf numFmtId="180" fontId="1" fillId="0" borderId="1" xfId="0" applyNumberFormat="1" applyFont="1" applyBorder="1"/>
    <xf numFmtId="180" fontId="1" fillId="0" borderId="0" xfId="0" applyNumberFormat="1" applyFont="1" applyBorder="1"/>
    <xf numFmtId="1" fontId="0" fillId="0" borderId="0" xfId="0" applyNumberFormat="1"/>
    <xf numFmtId="180" fontId="4" fillId="0" borderId="1" xfId="0" applyNumberFormat="1" applyFont="1" applyFill="1" applyBorder="1"/>
    <xf numFmtId="0" fontId="4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14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right" vertical="top" wrapText="1"/>
    </xf>
    <xf numFmtId="20" fontId="0" fillId="0" borderId="3" xfId="0" applyNumberFormat="1" applyBorder="1"/>
    <xf numFmtId="20" fontId="0" fillId="0" borderId="0" xfId="0" applyNumberFormat="1" applyBorder="1"/>
    <xf numFmtId="180" fontId="8" fillId="0" borderId="0" xfId="0" applyNumberFormat="1" applyFont="1" applyBorder="1"/>
    <xf numFmtId="180" fontId="0" fillId="0" borderId="0" xfId="0" applyNumberFormat="1" applyBorder="1"/>
    <xf numFmtId="180" fontId="0" fillId="0" borderId="0" xfId="0" applyNumberFormat="1" applyFill="1" applyBorder="1"/>
    <xf numFmtId="180" fontId="1" fillId="0" borderId="1" xfId="0" applyNumberFormat="1" applyFont="1" applyBorder="1" applyAlignment="1">
      <alignment horizontal="right" vertical="center" wrapText="1"/>
    </xf>
    <xf numFmtId="0" fontId="3" fillId="0" borderId="7" xfId="0" applyFont="1" applyBorder="1" applyAlignment="1">
      <alignment horizontal="left" wrapText="1"/>
    </xf>
    <xf numFmtId="0" fontId="3" fillId="0" borderId="8" xfId="0" applyFont="1" applyBorder="1" applyAlignment="1">
      <alignment horizontal="left" wrapText="1"/>
    </xf>
    <xf numFmtId="0" fontId="3" fillId="0" borderId="9" xfId="0" applyFont="1" applyBorder="1" applyAlignment="1">
      <alignment horizontal="left" wrapText="1"/>
    </xf>
    <xf numFmtId="0" fontId="0" fillId="0" borderId="8" xfId="0" applyBorder="1" applyAlignment="1"/>
    <xf numFmtId="0" fontId="9" fillId="0" borderId="7" xfId="0" applyFont="1" applyBorder="1" applyAlignment="1"/>
    <xf numFmtId="0" fontId="3" fillId="0" borderId="8" xfId="0" applyFont="1" applyBorder="1" applyAlignment="1"/>
    <xf numFmtId="0" fontId="3" fillId="0" borderId="9" xfId="0" applyFont="1" applyBorder="1" applyAlignment="1"/>
    <xf numFmtId="14" fontId="4" fillId="0" borderId="7" xfId="0" applyNumberFormat="1" applyFont="1" applyBorder="1" applyAlignment="1">
      <alignment horizontal="center" vertical="top"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9B7A86-4BC5-4A32-A100-54B18B1169AB}">
  <sheetPr codeName="Tabelle1"/>
  <dimension ref="A1:AH21"/>
  <sheetViews>
    <sheetView tabSelected="1" zoomScaleNormal="100" workbookViewId="0">
      <selection sqref="A1:F1"/>
    </sheetView>
  </sheetViews>
  <sheetFormatPr baseColWidth="10" defaultRowHeight="12.5"/>
  <cols>
    <col min="1" max="1" width="11.26953125" customWidth="1"/>
    <col min="2" max="2" width="15.26953125" customWidth="1"/>
    <col min="3" max="3" width="23.81640625" customWidth="1"/>
    <col min="4" max="4" width="60.26953125" customWidth="1"/>
    <col min="5" max="5" width="24.453125" customWidth="1"/>
    <col min="6" max="7" width="6.453125" customWidth="1"/>
    <col min="8" max="8" width="4.26953125" customWidth="1"/>
    <col min="9" max="9" width="3.7265625" customWidth="1"/>
    <col min="10" max="10" width="6.26953125" customWidth="1"/>
    <col min="11" max="11" width="6.54296875" customWidth="1"/>
    <col min="12" max="12" width="5.54296875" customWidth="1"/>
    <col min="13" max="13" width="5.453125" customWidth="1"/>
    <col min="14" max="14" width="6.54296875" customWidth="1"/>
    <col min="15" max="16" width="6.7265625" customWidth="1"/>
    <col min="17" max="17" width="6.54296875" customWidth="1"/>
    <col min="18" max="18" width="7.1796875" customWidth="1"/>
    <col min="19" max="20" width="6.1796875" customWidth="1"/>
    <col min="21" max="21" width="5.54296875" customWidth="1"/>
    <col min="22" max="22" width="4.81640625" customWidth="1"/>
    <col min="23" max="23" width="6.26953125" customWidth="1"/>
    <col min="24" max="24" width="5.81640625" customWidth="1"/>
    <col min="25" max="25" width="6.1796875" customWidth="1"/>
    <col min="26" max="26" width="5.7265625" customWidth="1"/>
    <col min="27" max="27" width="6.453125" customWidth="1"/>
    <col min="28" max="28" width="2.81640625" customWidth="1"/>
    <col min="29" max="29" width="4" customWidth="1"/>
    <col min="30" max="30" width="3.453125" customWidth="1"/>
    <col min="31" max="31" width="3.26953125" customWidth="1"/>
    <col min="32" max="33" width="3.1796875" customWidth="1"/>
    <col min="34" max="34" width="3.54296875" customWidth="1"/>
  </cols>
  <sheetData>
    <row r="1" spans="1:34" ht="26.25" customHeight="1">
      <c r="A1" s="51" t="s">
        <v>46</v>
      </c>
      <c r="B1" s="52"/>
      <c r="C1" s="52"/>
      <c r="D1" s="52"/>
      <c r="E1" s="52"/>
      <c r="F1" s="53"/>
      <c r="G1" s="55" t="s">
        <v>47</v>
      </c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  <c r="AA1" s="56"/>
      <c r="AB1" s="56"/>
      <c r="AC1" s="56"/>
      <c r="AD1" s="56"/>
      <c r="AE1" s="56"/>
      <c r="AF1" s="56"/>
      <c r="AG1" s="56"/>
      <c r="AH1" s="57"/>
    </row>
    <row r="2" spans="1:34">
      <c r="A2" s="54"/>
      <c r="B2" s="54"/>
      <c r="C2" s="54"/>
      <c r="D2" s="54"/>
      <c r="E2" s="54"/>
      <c r="F2" s="54"/>
      <c r="G2" s="7"/>
      <c r="H2" s="8"/>
      <c r="I2" s="8"/>
      <c r="J2" s="8"/>
      <c r="K2" s="8"/>
      <c r="L2" s="8"/>
      <c r="M2" s="8"/>
      <c r="N2" s="7"/>
      <c r="O2" s="7"/>
      <c r="P2" s="7"/>
      <c r="Q2" s="7"/>
      <c r="R2" s="12"/>
      <c r="S2" s="7"/>
      <c r="T2" s="7"/>
      <c r="U2" s="9"/>
      <c r="V2" s="9"/>
      <c r="W2" s="9"/>
      <c r="X2" s="10"/>
      <c r="Y2" s="9"/>
      <c r="Z2" s="11"/>
      <c r="AA2" s="11"/>
      <c r="AB2" s="11"/>
      <c r="AC2" s="11"/>
      <c r="AD2" s="11"/>
    </row>
    <row r="3" spans="1:34" ht="72.5">
      <c r="A3" s="1" t="s">
        <v>0</v>
      </c>
      <c r="B3" s="1" t="s">
        <v>1</v>
      </c>
      <c r="C3" s="2" t="s">
        <v>2</v>
      </c>
      <c r="D3" s="1" t="s">
        <v>3</v>
      </c>
      <c r="E3" s="3" t="s">
        <v>4</v>
      </c>
      <c r="F3" s="2" t="s">
        <v>22</v>
      </c>
      <c r="G3" s="25" t="s">
        <v>26</v>
      </c>
      <c r="H3" s="25" t="s">
        <v>23</v>
      </c>
      <c r="I3" s="25" t="s">
        <v>24</v>
      </c>
      <c r="J3" s="25" t="s">
        <v>8</v>
      </c>
      <c r="K3" s="26" t="s">
        <v>32</v>
      </c>
      <c r="L3" s="25" t="s">
        <v>36</v>
      </c>
      <c r="M3" s="25" t="s">
        <v>25</v>
      </c>
      <c r="N3" s="25" t="s">
        <v>14</v>
      </c>
      <c r="O3" s="26" t="s">
        <v>33</v>
      </c>
      <c r="P3" s="25" t="s">
        <v>35</v>
      </c>
      <c r="Q3" s="25" t="s">
        <v>15</v>
      </c>
      <c r="R3" s="26" t="s">
        <v>34</v>
      </c>
      <c r="S3" s="25" t="s">
        <v>9</v>
      </c>
      <c r="T3" s="25" t="s">
        <v>10</v>
      </c>
      <c r="U3" s="25" t="s">
        <v>31</v>
      </c>
      <c r="V3" s="25" t="s">
        <v>12</v>
      </c>
      <c r="W3" s="26" t="s">
        <v>27</v>
      </c>
      <c r="X3" s="25" t="s">
        <v>13</v>
      </c>
      <c r="Y3" s="26" t="s">
        <v>29</v>
      </c>
      <c r="Z3" s="26" t="s">
        <v>30</v>
      </c>
      <c r="AA3" s="25" t="s">
        <v>11</v>
      </c>
      <c r="AB3" s="27" t="s">
        <v>18</v>
      </c>
      <c r="AC3" s="27" t="s">
        <v>19</v>
      </c>
      <c r="AD3" s="27" t="s">
        <v>20</v>
      </c>
      <c r="AE3" s="27" t="s">
        <v>21</v>
      </c>
      <c r="AF3" s="28" t="s">
        <v>17</v>
      </c>
      <c r="AG3" s="28" t="s">
        <v>16</v>
      </c>
      <c r="AH3" s="28" t="s">
        <v>28</v>
      </c>
    </row>
    <row r="4" spans="1:34" ht="13">
      <c r="A4" s="42" t="s">
        <v>37</v>
      </c>
      <c r="B4" s="32">
        <v>39701</v>
      </c>
      <c r="C4" s="5" t="s">
        <v>48</v>
      </c>
      <c r="D4" s="6" t="s">
        <v>49</v>
      </c>
      <c r="E4" s="4" t="s">
        <v>50</v>
      </c>
      <c r="F4" s="5">
        <v>136</v>
      </c>
      <c r="G4" s="13">
        <f>SUM(F4)</f>
        <v>136</v>
      </c>
      <c r="H4" s="14">
        <f>ROUND(PRODUCT(G4/1),0)</f>
        <v>136</v>
      </c>
      <c r="I4" s="14">
        <f>ROUND(PRODUCT(G4/COUNT(F4:F4)),0)</f>
        <v>136</v>
      </c>
      <c r="J4" s="45">
        <v>0.31458333333333333</v>
      </c>
      <c r="K4" s="20">
        <f>SUM(J4)</f>
        <v>0.31458333333333333</v>
      </c>
      <c r="L4" s="47">
        <f t="shared" ref="L4:L14" si="0">IF(F4=0,0,ROUND(PRODUCT(F4/SUM(HOUR(J4),PRODUCT(MINUTE(J4)/60))),1))</f>
        <v>18</v>
      </c>
      <c r="M4" s="35">
        <v>36</v>
      </c>
      <c r="N4" s="45">
        <v>0.40625</v>
      </c>
      <c r="O4" s="20">
        <f>SUM(N4)</f>
        <v>0.40625</v>
      </c>
      <c r="P4" s="47">
        <f t="shared" ref="P4:P14" si="1">IF(F4=0,0,ROUND(PRODUCT(F4/SUM(HOUR(N4),PRODUCT(MINUTE(N4)/60))),1))</f>
        <v>13.9</v>
      </c>
      <c r="Q4" s="20">
        <f t="shared" ref="Q4:Q14" si="2">SUM(N4,-J4)</f>
        <v>9.1666666666666674E-2</v>
      </c>
      <c r="R4" s="20">
        <f>SUM(Q4)</f>
        <v>9.1666666666666674E-2</v>
      </c>
      <c r="S4" s="14">
        <v>114</v>
      </c>
      <c r="T4" s="11">
        <v>114</v>
      </c>
      <c r="U4" s="15">
        <f>SUM(-S4,T4)</f>
        <v>0</v>
      </c>
      <c r="V4" s="14"/>
      <c r="W4" s="15">
        <f>SUM(V4)</f>
        <v>0</v>
      </c>
      <c r="X4" s="14">
        <f t="shared" ref="X4:X14" si="3">SUM(S4,-T4,V4)</f>
        <v>0</v>
      </c>
      <c r="Y4" s="15">
        <f>SUM(X4)</f>
        <v>0</v>
      </c>
      <c r="Z4" s="15">
        <f t="shared" ref="Z4:Z14" si="4">SUM(V4,-X4)</f>
        <v>0</v>
      </c>
      <c r="AA4" s="14"/>
      <c r="AB4" s="14"/>
      <c r="AC4" s="14"/>
      <c r="AD4" s="14"/>
      <c r="AE4" s="14"/>
      <c r="AF4" s="14"/>
      <c r="AG4" s="14"/>
      <c r="AH4" s="16">
        <f>SUM(AG4,-AF4)</f>
        <v>0</v>
      </c>
    </row>
    <row r="5" spans="1:34" ht="13">
      <c r="A5" s="42" t="s">
        <v>38</v>
      </c>
      <c r="B5" s="32">
        <v>39702</v>
      </c>
      <c r="C5" s="5" t="s">
        <v>50</v>
      </c>
      <c r="D5" s="6" t="s">
        <v>51</v>
      </c>
      <c r="E5" s="4" t="s">
        <v>52</v>
      </c>
      <c r="F5" s="5">
        <v>154</v>
      </c>
      <c r="G5" s="17">
        <f>SUM(G4,F5)</f>
        <v>290</v>
      </c>
      <c r="H5" s="11">
        <f>ROUND(PRODUCT(G5/2),0)</f>
        <v>145</v>
      </c>
      <c r="I5" s="11">
        <f>ROUND(PRODUCT(G5/COUNT(F4:F5)),0)</f>
        <v>145</v>
      </c>
      <c r="J5" s="46">
        <v>0.30208333333333331</v>
      </c>
      <c r="K5" s="21">
        <f t="shared" ref="K5:K14" si="5">SUM(J5,K4)</f>
        <v>0.6166666666666667</v>
      </c>
      <c r="L5" s="47">
        <f t="shared" si="0"/>
        <v>21.2</v>
      </c>
      <c r="M5" s="48"/>
      <c r="N5" s="46">
        <v>0.40625</v>
      </c>
      <c r="O5" s="21">
        <f t="shared" ref="O5:O14" si="6">SUM(N5,O4)</f>
        <v>0.8125</v>
      </c>
      <c r="P5" s="47">
        <f t="shared" si="1"/>
        <v>15.8</v>
      </c>
      <c r="Q5" s="21">
        <f t="shared" si="2"/>
        <v>0.10416666666666669</v>
      </c>
      <c r="R5" s="21">
        <f>SUM(Q5,R4)</f>
        <v>0.19583333333333336</v>
      </c>
      <c r="S5" s="11">
        <v>95</v>
      </c>
      <c r="T5" s="11"/>
      <c r="U5" s="18">
        <f>SUM(-S5,T5)</f>
        <v>-95</v>
      </c>
      <c r="V5" s="29"/>
      <c r="W5" s="18">
        <f t="shared" ref="W5:W14" si="7">SUM(W4,V5)</f>
        <v>0</v>
      </c>
      <c r="X5" s="11">
        <f t="shared" si="3"/>
        <v>95</v>
      </c>
      <c r="Y5" s="18">
        <f>SUM(Y4,X5)</f>
        <v>95</v>
      </c>
      <c r="Z5" s="18">
        <f t="shared" si="4"/>
        <v>-95</v>
      </c>
      <c r="AA5" s="11"/>
      <c r="AB5" s="11"/>
      <c r="AC5" s="30"/>
      <c r="AD5" s="29"/>
      <c r="AE5" s="30"/>
      <c r="AF5" s="30"/>
      <c r="AG5" s="30"/>
      <c r="AH5" s="19">
        <f>SUM(AG5,-AF5)</f>
        <v>0</v>
      </c>
    </row>
    <row r="6" spans="1:34" ht="13">
      <c r="A6" s="42" t="s">
        <v>39</v>
      </c>
      <c r="B6" s="32">
        <v>39703</v>
      </c>
      <c r="C6" s="5" t="s">
        <v>52</v>
      </c>
      <c r="D6" s="6" t="s">
        <v>53</v>
      </c>
      <c r="E6" s="4" t="s">
        <v>54</v>
      </c>
      <c r="F6" s="5">
        <v>175</v>
      </c>
      <c r="G6" s="17">
        <f t="shared" ref="G6:G14" si="8">SUM(G5,F6)</f>
        <v>465</v>
      </c>
      <c r="H6" s="11">
        <f>ROUND(PRODUCT(G6/3),0)</f>
        <v>155</v>
      </c>
      <c r="I6" s="11">
        <f>ROUND(PRODUCT(G6/COUNT(F4:F6)),0)</f>
        <v>155</v>
      </c>
      <c r="J6" s="46">
        <v>0.34027777777777773</v>
      </c>
      <c r="K6" s="21">
        <f t="shared" si="5"/>
        <v>0.95694444444444438</v>
      </c>
      <c r="L6" s="47">
        <f t="shared" si="0"/>
        <v>21.4</v>
      </c>
      <c r="M6" s="48">
        <v>54.6</v>
      </c>
      <c r="N6" s="46">
        <v>0.42708333333333331</v>
      </c>
      <c r="O6" s="21">
        <f t="shared" si="6"/>
        <v>1.2395833333333333</v>
      </c>
      <c r="P6" s="47">
        <f t="shared" si="1"/>
        <v>17.100000000000001</v>
      </c>
      <c r="Q6" s="21">
        <f t="shared" si="2"/>
        <v>8.680555555555558E-2</v>
      </c>
      <c r="R6" s="21">
        <f t="shared" ref="R6:R14" si="9">SUM(Q6,R5)</f>
        <v>0.28263888888888894</v>
      </c>
      <c r="S6" s="11">
        <v>90</v>
      </c>
      <c r="T6" s="29">
        <v>275</v>
      </c>
      <c r="U6" s="18">
        <f t="shared" ref="U6:U14" si="10">SUM(-S6,T6)</f>
        <v>185</v>
      </c>
      <c r="V6" s="29"/>
      <c r="W6" s="18">
        <f t="shared" si="7"/>
        <v>0</v>
      </c>
      <c r="X6" s="11">
        <f t="shared" si="3"/>
        <v>-185</v>
      </c>
      <c r="Y6" s="18">
        <f t="shared" ref="Y6:Y14" si="11">SUM(Y5,X6)</f>
        <v>-90</v>
      </c>
      <c r="Z6" s="18">
        <f t="shared" si="4"/>
        <v>185</v>
      </c>
      <c r="AA6" s="11"/>
      <c r="AB6" s="11"/>
      <c r="AC6" s="30"/>
      <c r="AD6" s="29"/>
      <c r="AE6" s="30"/>
      <c r="AF6" s="30"/>
      <c r="AG6" s="30"/>
      <c r="AH6" s="19">
        <f t="shared" ref="AH6:AH14" si="12">SUM(AG6,-AF6)</f>
        <v>0</v>
      </c>
    </row>
    <row r="7" spans="1:34" ht="13">
      <c r="A7" s="42" t="s">
        <v>40</v>
      </c>
      <c r="B7" s="32">
        <v>39704</v>
      </c>
      <c r="C7" s="5" t="s">
        <v>54</v>
      </c>
      <c r="D7" s="6" t="s">
        <v>55</v>
      </c>
      <c r="E7" s="4" t="s">
        <v>56</v>
      </c>
      <c r="F7" s="5">
        <v>148</v>
      </c>
      <c r="G7" s="17">
        <f t="shared" si="8"/>
        <v>613</v>
      </c>
      <c r="H7" s="11">
        <f>ROUND(PRODUCT(G7/4),0)</f>
        <v>153</v>
      </c>
      <c r="I7" s="11">
        <f>ROUND(PRODUCT(G7/COUNT(F4:F7)),0)</f>
        <v>153</v>
      </c>
      <c r="J7" s="46">
        <v>0.32500000000000001</v>
      </c>
      <c r="K7" s="21">
        <f t="shared" si="5"/>
        <v>1.2819444444444443</v>
      </c>
      <c r="L7" s="47">
        <f t="shared" si="0"/>
        <v>19</v>
      </c>
      <c r="M7" s="49">
        <v>47.6</v>
      </c>
      <c r="N7" s="46">
        <v>0.40625</v>
      </c>
      <c r="O7" s="21">
        <f t="shared" si="6"/>
        <v>1.6458333333333333</v>
      </c>
      <c r="P7" s="47">
        <f t="shared" si="1"/>
        <v>15.2</v>
      </c>
      <c r="Q7" s="21">
        <f t="shared" si="2"/>
        <v>8.1249999999999989E-2</v>
      </c>
      <c r="R7" s="21">
        <f t="shared" si="9"/>
        <v>0.36388888888888893</v>
      </c>
      <c r="S7" s="29">
        <v>80</v>
      </c>
      <c r="T7" s="29"/>
      <c r="U7" s="18">
        <f t="shared" si="10"/>
        <v>-80</v>
      </c>
      <c r="V7" s="29"/>
      <c r="W7" s="18">
        <f t="shared" si="7"/>
        <v>0</v>
      </c>
      <c r="X7" s="11">
        <f t="shared" si="3"/>
        <v>80</v>
      </c>
      <c r="Y7" s="18">
        <f t="shared" si="11"/>
        <v>-10</v>
      </c>
      <c r="Z7" s="18">
        <f t="shared" si="4"/>
        <v>-80</v>
      </c>
      <c r="AA7" s="29"/>
      <c r="AB7" s="29"/>
      <c r="AC7" s="30"/>
      <c r="AD7" s="29"/>
      <c r="AE7" s="30"/>
      <c r="AF7" s="30"/>
      <c r="AG7" s="30"/>
      <c r="AH7" s="19">
        <f t="shared" si="12"/>
        <v>0</v>
      </c>
    </row>
    <row r="8" spans="1:34" ht="13">
      <c r="A8" s="42" t="s">
        <v>41</v>
      </c>
      <c r="B8" s="32">
        <v>39705</v>
      </c>
      <c r="C8" s="5" t="s">
        <v>56</v>
      </c>
      <c r="D8" s="6" t="s">
        <v>57</v>
      </c>
      <c r="E8" s="4" t="s">
        <v>58</v>
      </c>
      <c r="F8" s="5">
        <v>147</v>
      </c>
      <c r="G8" s="17">
        <f t="shared" si="8"/>
        <v>760</v>
      </c>
      <c r="H8" s="11">
        <f>ROUND(PRODUCT(G8/5),0)</f>
        <v>152</v>
      </c>
      <c r="I8" s="11">
        <f>ROUND(PRODUCT(G8/COUNT(F4:F8)),0)</f>
        <v>152</v>
      </c>
      <c r="J8" s="46">
        <v>0.35416666666666669</v>
      </c>
      <c r="K8" s="21">
        <f t="shared" si="5"/>
        <v>1.6361111111111111</v>
      </c>
      <c r="L8" s="47">
        <f t="shared" si="0"/>
        <v>17.3</v>
      </c>
      <c r="M8" s="49">
        <v>50.3</v>
      </c>
      <c r="N8" s="46">
        <v>0.4375</v>
      </c>
      <c r="O8" s="21">
        <f t="shared" si="6"/>
        <v>2.083333333333333</v>
      </c>
      <c r="P8" s="47">
        <f t="shared" si="1"/>
        <v>14</v>
      </c>
      <c r="Q8" s="21">
        <f t="shared" si="2"/>
        <v>8.3333333333333315E-2</v>
      </c>
      <c r="R8" s="21">
        <f t="shared" si="9"/>
        <v>0.44722222222222224</v>
      </c>
      <c r="S8" s="29">
        <v>70</v>
      </c>
      <c r="T8" s="29">
        <v>277</v>
      </c>
      <c r="U8" s="18">
        <f t="shared" si="10"/>
        <v>207</v>
      </c>
      <c r="V8" s="29"/>
      <c r="W8" s="18">
        <f t="shared" si="7"/>
        <v>0</v>
      </c>
      <c r="X8" s="11">
        <f t="shared" si="3"/>
        <v>-207</v>
      </c>
      <c r="Y8" s="18">
        <f t="shared" si="11"/>
        <v>-217</v>
      </c>
      <c r="Z8" s="18">
        <f t="shared" si="4"/>
        <v>207</v>
      </c>
      <c r="AA8" s="29"/>
      <c r="AB8" s="29"/>
      <c r="AC8" s="30"/>
      <c r="AD8" s="29"/>
      <c r="AE8" s="30"/>
      <c r="AF8" s="30"/>
      <c r="AG8" s="30"/>
      <c r="AH8" s="19">
        <f t="shared" si="12"/>
        <v>0</v>
      </c>
    </row>
    <row r="9" spans="1:34" ht="13">
      <c r="A9" s="42" t="s">
        <v>42</v>
      </c>
      <c r="B9" s="32">
        <v>39706</v>
      </c>
      <c r="C9" s="5" t="s">
        <v>58</v>
      </c>
      <c r="D9" s="6" t="s">
        <v>59</v>
      </c>
      <c r="E9" s="4" t="s">
        <v>60</v>
      </c>
      <c r="F9" s="5">
        <v>156</v>
      </c>
      <c r="G9" s="17">
        <f t="shared" si="8"/>
        <v>916</v>
      </c>
      <c r="H9" s="11">
        <f>ROUND(PRODUCT(G9/6),0)</f>
        <v>153</v>
      </c>
      <c r="I9" s="11">
        <f>ROUND(PRODUCT(G9/COUNT(F4:F9)),0)</f>
        <v>153</v>
      </c>
      <c r="J9" s="46">
        <v>0.35416666666666669</v>
      </c>
      <c r="K9" s="21">
        <f t="shared" si="5"/>
        <v>1.9902777777777778</v>
      </c>
      <c r="L9" s="47">
        <f t="shared" si="0"/>
        <v>18.399999999999999</v>
      </c>
      <c r="M9" s="49"/>
      <c r="N9" s="46">
        <v>0.40625</v>
      </c>
      <c r="O9" s="21">
        <f t="shared" si="6"/>
        <v>2.489583333333333</v>
      </c>
      <c r="P9" s="47">
        <f t="shared" si="1"/>
        <v>16</v>
      </c>
      <c r="Q9" s="21">
        <f t="shared" si="2"/>
        <v>5.2083333333333315E-2</v>
      </c>
      <c r="R9" s="21">
        <f t="shared" si="9"/>
        <v>0.49930555555555556</v>
      </c>
      <c r="S9" s="29">
        <v>40</v>
      </c>
      <c r="T9" s="29"/>
      <c r="U9" s="18">
        <f t="shared" si="10"/>
        <v>-40</v>
      </c>
      <c r="V9" s="29"/>
      <c r="W9" s="18">
        <f t="shared" si="7"/>
        <v>0</v>
      </c>
      <c r="X9" s="11">
        <f t="shared" si="3"/>
        <v>40</v>
      </c>
      <c r="Y9" s="18">
        <f t="shared" si="11"/>
        <v>-177</v>
      </c>
      <c r="Z9" s="18">
        <f t="shared" si="4"/>
        <v>-40</v>
      </c>
      <c r="AA9" s="29"/>
      <c r="AB9" s="29"/>
      <c r="AC9" s="30"/>
      <c r="AD9" s="29"/>
      <c r="AE9" s="30"/>
      <c r="AF9" s="30"/>
      <c r="AG9" s="30"/>
      <c r="AH9" s="19">
        <f t="shared" si="12"/>
        <v>0</v>
      </c>
    </row>
    <row r="10" spans="1:34" ht="13">
      <c r="A10" s="42" t="s">
        <v>43</v>
      </c>
      <c r="B10" s="32">
        <v>39707</v>
      </c>
      <c r="C10" s="5" t="s">
        <v>60</v>
      </c>
      <c r="D10" s="6" t="s">
        <v>61</v>
      </c>
      <c r="E10" s="4" t="s">
        <v>62</v>
      </c>
      <c r="F10" s="5">
        <v>177</v>
      </c>
      <c r="G10" s="17">
        <f t="shared" si="8"/>
        <v>1093</v>
      </c>
      <c r="H10" s="11">
        <f>ROUND(PRODUCT(G10/7),0)</f>
        <v>156</v>
      </c>
      <c r="I10" s="11">
        <f>ROUND(PRODUCT(G10/COUNT(F4:F10)),0)</f>
        <v>156</v>
      </c>
      <c r="J10" s="46">
        <v>0.40625</v>
      </c>
      <c r="K10" s="21">
        <f t="shared" si="5"/>
        <v>2.396527777777778</v>
      </c>
      <c r="L10" s="47">
        <f t="shared" si="0"/>
        <v>18.2</v>
      </c>
      <c r="M10" s="49"/>
      <c r="N10" s="46">
        <v>0.44791666666666669</v>
      </c>
      <c r="O10" s="21">
        <f t="shared" si="6"/>
        <v>2.9374999999999996</v>
      </c>
      <c r="P10" s="47">
        <f t="shared" si="1"/>
        <v>16.5</v>
      </c>
      <c r="Q10" s="21">
        <f t="shared" si="2"/>
        <v>4.1666666666666685E-2</v>
      </c>
      <c r="R10" s="21">
        <f t="shared" si="9"/>
        <v>0.54097222222222219</v>
      </c>
      <c r="S10" s="29">
        <v>275</v>
      </c>
      <c r="T10" s="29">
        <v>787</v>
      </c>
      <c r="U10" s="18">
        <f t="shared" si="10"/>
        <v>512</v>
      </c>
      <c r="V10" s="29"/>
      <c r="W10" s="18">
        <f t="shared" si="7"/>
        <v>0</v>
      </c>
      <c r="X10" s="11">
        <f t="shared" si="3"/>
        <v>-512</v>
      </c>
      <c r="Y10" s="18">
        <f t="shared" si="11"/>
        <v>-689</v>
      </c>
      <c r="Z10" s="18">
        <f t="shared" si="4"/>
        <v>512</v>
      </c>
      <c r="AA10" s="11"/>
      <c r="AB10" s="11"/>
      <c r="AC10" s="30"/>
      <c r="AD10" s="29"/>
      <c r="AE10" s="30"/>
      <c r="AF10" s="30"/>
      <c r="AG10" s="30"/>
      <c r="AH10" s="19">
        <f t="shared" si="12"/>
        <v>0</v>
      </c>
    </row>
    <row r="11" spans="1:34" ht="13">
      <c r="A11" s="41" t="s">
        <v>44</v>
      </c>
      <c r="B11" s="43">
        <v>39708</v>
      </c>
      <c r="C11" s="44" t="s">
        <v>62</v>
      </c>
      <c r="D11" s="41" t="s">
        <v>63</v>
      </c>
      <c r="E11" s="4" t="s">
        <v>64</v>
      </c>
      <c r="F11" s="5">
        <v>158</v>
      </c>
      <c r="G11" s="17">
        <f t="shared" si="8"/>
        <v>1251</v>
      </c>
      <c r="H11" s="11">
        <f>ROUND(PRODUCT(G11/8),0)</f>
        <v>156</v>
      </c>
      <c r="I11" s="11">
        <f>ROUND(PRODUCT(G11/COUNT(F4:F11)),0)</f>
        <v>156</v>
      </c>
      <c r="J11" s="46">
        <v>0.35416666666666669</v>
      </c>
      <c r="K11" s="21">
        <f t="shared" si="5"/>
        <v>2.7506944444444446</v>
      </c>
      <c r="L11" s="47">
        <f t="shared" si="0"/>
        <v>18.600000000000001</v>
      </c>
      <c r="M11" s="49"/>
      <c r="N11" s="46">
        <v>0.4375</v>
      </c>
      <c r="O11" s="21">
        <f t="shared" si="6"/>
        <v>3.3749999999999996</v>
      </c>
      <c r="P11" s="47">
        <f t="shared" si="1"/>
        <v>15</v>
      </c>
      <c r="Q11" s="21">
        <f t="shared" si="2"/>
        <v>8.3333333333333315E-2</v>
      </c>
      <c r="R11" s="21">
        <f t="shared" si="9"/>
        <v>0.62430555555555545</v>
      </c>
      <c r="S11" s="29">
        <v>650</v>
      </c>
      <c r="T11" s="29">
        <v>880</v>
      </c>
      <c r="U11" s="18">
        <f t="shared" si="10"/>
        <v>230</v>
      </c>
      <c r="V11" s="29"/>
      <c r="W11" s="18">
        <f t="shared" si="7"/>
        <v>0</v>
      </c>
      <c r="X11" s="11">
        <f t="shared" si="3"/>
        <v>-230</v>
      </c>
      <c r="Y11" s="18">
        <f t="shared" si="11"/>
        <v>-919</v>
      </c>
      <c r="Z11" s="18">
        <f t="shared" si="4"/>
        <v>230</v>
      </c>
      <c r="AA11" s="29"/>
      <c r="AB11" s="29"/>
      <c r="AC11" s="30"/>
      <c r="AD11" s="29"/>
      <c r="AE11" s="30"/>
      <c r="AF11" s="30"/>
      <c r="AG11" s="30"/>
      <c r="AH11" s="19">
        <f t="shared" si="12"/>
        <v>0</v>
      </c>
    </row>
    <row r="12" spans="1:34" ht="25">
      <c r="A12" s="41" t="s">
        <v>45</v>
      </c>
      <c r="B12" s="43">
        <v>39709</v>
      </c>
      <c r="C12" s="44" t="s">
        <v>64</v>
      </c>
      <c r="D12" s="41" t="s">
        <v>65</v>
      </c>
      <c r="E12" s="4" t="s">
        <v>66</v>
      </c>
      <c r="F12" s="5">
        <v>137</v>
      </c>
      <c r="G12" s="17">
        <f t="shared" si="8"/>
        <v>1388</v>
      </c>
      <c r="H12" s="11">
        <f>ROUND(PRODUCT(G12/9),0)</f>
        <v>154</v>
      </c>
      <c r="I12" s="11">
        <f>ROUND(PRODUCT(G12/COUNT(F4:F12)),0)</f>
        <v>154</v>
      </c>
      <c r="J12" s="46">
        <v>0.35416666666666669</v>
      </c>
      <c r="K12" s="21">
        <f t="shared" si="5"/>
        <v>3.1048611111111111</v>
      </c>
      <c r="L12" s="47">
        <f t="shared" si="0"/>
        <v>16.100000000000001</v>
      </c>
      <c r="M12" s="49"/>
      <c r="N12" s="46">
        <v>0.4375</v>
      </c>
      <c r="O12" s="21">
        <f t="shared" si="6"/>
        <v>3.8124999999999996</v>
      </c>
      <c r="P12" s="47">
        <f t="shared" si="1"/>
        <v>13</v>
      </c>
      <c r="Q12" s="21">
        <f t="shared" si="2"/>
        <v>8.3333333333333315E-2</v>
      </c>
      <c r="R12" s="21">
        <f t="shared" si="9"/>
        <v>0.70763888888888871</v>
      </c>
      <c r="S12" s="29"/>
      <c r="T12" s="29">
        <v>1162</v>
      </c>
      <c r="U12" s="18">
        <f t="shared" si="10"/>
        <v>1162</v>
      </c>
      <c r="V12" s="29"/>
      <c r="W12" s="18">
        <f t="shared" si="7"/>
        <v>0</v>
      </c>
      <c r="X12" s="11">
        <f t="shared" si="3"/>
        <v>-1162</v>
      </c>
      <c r="Y12" s="18">
        <f t="shared" si="11"/>
        <v>-2081</v>
      </c>
      <c r="Z12" s="18">
        <f t="shared" si="4"/>
        <v>1162</v>
      </c>
      <c r="AA12" s="11"/>
      <c r="AB12" s="11"/>
      <c r="AC12" s="30"/>
      <c r="AD12" s="29"/>
      <c r="AE12" s="30"/>
      <c r="AF12" s="30"/>
      <c r="AG12" s="30"/>
      <c r="AH12" s="19">
        <f t="shared" si="12"/>
        <v>0</v>
      </c>
    </row>
    <row r="13" spans="1:34" ht="13">
      <c r="A13" s="41" t="s">
        <v>5</v>
      </c>
      <c r="B13" s="32">
        <v>39710</v>
      </c>
      <c r="C13" s="5" t="s">
        <v>66</v>
      </c>
      <c r="D13" s="6" t="s">
        <v>67</v>
      </c>
      <c r="E13" s="4" t="s">
        <v>68</v>
      </c>
      <c r="F13" s="5">
        <v>168</v>
      </c>
      <c r="G13" s="17">
        <f t="shared" si="8"/>
        <v>1556</v>
      </c>
      <c r="H13" s="11">
        <f>ROUND(PRODUCT(G13/10),0)</f>
        <v>156</v>
      </c>
      <c r="I13" s="11">
        <f>ROUND(PRODUCT(G13/COUNT(F4:F13)),0)</f>
        <v>156</v>
      </c>
      <c r="J13" s="46">
        <v>0.36458333333333331</v>
      </c>
      <c r="K13" s="21">
        <f t="shared" si="5"/>
        <v>3.4694444444444446</v>
      </c>
      <c r="L13" s="47">
        <f t="shared" si="0"/>
        <v>19.2</v>
      </c>
      <c r="M13" s="49"/>
      <c r="N13" s="46">
        <v>0.40625</v>
      </c>
      <c r="O13" s="21">
        <f t="shared" si="6"/>
        <v>4.21875</v>
      </c>
      <c r="P13" s="47">
        <f t="shared" si="1"/>
        <v>17.2</v>
      </c>
      <c r="Q13" s="21">
        <f t="shared" si="2"/>
        <v>4.1666666666666685E-2</v>
      </c>
      <c r="R13" s="21">
        <f t="shared" si="9"/>
        <v>0.74930555555555545</v>
      </c>
      <c r="S13" s="29"/>
      <c r="T13" s="29">
        <v>1350</v>
      </c>
      <c r="U13" s="18">
        <f t="shared" si="10"/>
        <v>1350</v>
      </c>
      <c r="V13" s="29"/>
      <c r="W13" s="18">
        <f t="shared" si="7"/>
        <v>0</v>
      </c>
      <c r="X13" s="11">
        <f t="shared" si="3"/>
        <v>-1350</v>
      </c>
      <c r="Y13" s="18">
        <f t="shared" si="11"/>
        <v>-3431</v>
      </c>
      <c r="Z13" s="18">
        <f t="shared" si="4"/>
        <v>1350</v>
      </c>
      <c r="AA13" s="29"/>
      <c r="AB13" s="29"/>
      <c r="AC13" s="30"/>
      <c r="AD13" s="29"/>
      <c r="AE13" s="30"/>
      <c r="AF13" s="30"/>
      <c r="AG13" s="30"/>
      <c r="AH13" s="19">
        <f t="shared" si="12"/>
        <v>0</v>
      </c>
    </row>
    <row r="14" spans="1:34" ht="13">
      <c r="A14" s="41" t="s">
        <v>7</v>
      </c>
      <c r="B14" s="32">
        <v>39711</v>
      </c>
      <c r="C14" s="5" t="s">
        <v>68</v>
      </c>
      <c r="D14" s="6" t="s">
        <v>69</v>
      </c>
      <c r="E14" s="4" t="s">
        <v>70</v>
      </c>
      <c r="F14" s="5">
        <v>126</v>
      </c>
      <c r="G14" s="17">
        <f t="shared" si="8"/>
        <v>1682</v>
      </c>
      <c r="H14" s="11">
        <f>ROUND(PRODUCT(G14/11),0)</f>
        <v>153</v>
      </c>
      <c r="I14" s="11">
        <f>ROUND(PRODUCT(G14/COUNT(F4:F14)),0)</f>
        <v>153</v>
      </c>
      <c r="J14" s="46">
        <v>0.25</v>
      </c>
      <c r="K14" s="21">
        <f t="shared" si="5"/>
        <v>3.7194444444444446</v>
      </c>
      <c r="L14" s="47">
        <f t="shared" si="0"/>
        <v>21</v>
      </c>
      <c r="M14" s="49"/>
      <c r="N14" s="46">
        <v>0.27083333333333331</v>
      </c>
      <c r="O14" s="21">
        <f t="shared" si="6"/>
        <v>4.489583333333333</v>
      </c>
      <c r="P14" s="47">
        <f t="shared" si="1"/>
        <v>19.399999999999999</v>
      </c>
      <c r="Q14" s="21">
        <f t="shared" si="2"/>
        <v>2.0833333333333315E-2</v>
      </c>
      <c r="R14" s="21">
        <f t="shared" si="9"/>
        <v>0.77013888888888871</v>
      </c>
      <c r="S14" s="29"/>
      <c r="T14" s="29"/>
      <c r="U14" s="18">
        <f t="shared" si="10"/>
        <v>0</v>
      </c>
      <c r="V14" s="29"/>
      <c r="W14" s="18">
        <f t="shared" si="7"/>
        <v>0</v>
      </c>
      <c r="X14" s="11">
        <f t="shared" si="3"/>
        <v>0</v>
      </c>
      <c r="Y14" s="18">
        <f t="shared" si="11"/>
        <v>-3431</v>
      </c>
      <c r="Z14" s="18">
        <f t="shared" si="4"/>
        <v>0</v>
      </c>
      <c r="AA14" s="29"/>
      <c r="AB14" s="29"/>
      <c r="AC14" s="30"/>
      <c r="AD14" s="29"/>
      <c r="AE14" s="30"/>
      <c r="AF14" s="30"/>
      <c r="AG14" s="30"/>
      <c r="AH14" s="19">
        <f t="shared" si="12"/>
        <v>0</v>
      </c>
    </row>
    <row r="15" spans="1:34" ht="13">
      <c r="A15" s="31" t="s">
        <v>6</v>
      </c>
      <c r="B15" s="58"/>
      <c r="C15" s="59"/>
      <c r="D15" s="59"/>
      <c r="E15" s="60"/>
      <c r="F15" s="33">
        <f>SUM(F4:F14)</f>
        <v>1682</v>
      </c>
      <c r="G15" s="22">
        <f>SUM(G14)</f>
        <v>1682</v>
      </c>
      <c r="H15" s="22">
        <f>SUM(H14)</f>
        <v>153</v>
      </c>
      <c r="I15" s="22">
        <f>SUM(I14)</f>
        <v>153</v>
      </c>
      <c r="J15" s="23">
        <f>SUM(J4:J14)</f>
        <v>3.7194444444444446</v>
      </c>
      <c r="K15" s="37">
        <f>F15/SUM(HOUR(J15)+(ROUNDDOWN(J15,0)*24),PRODUCT(MINUTE(J15)/60))</f>
        <v>18.842419716206123</v>
      </c>
      <c r="L15" s="40">
        <f>SUM(L4:L14)/COUNT(F4:F14)</f>
        <v>18.945454545454542</v>
      </c>
      <c r="M15" s="50">
        <f>PRODUCT(SUM(M4:M14),1/COUNT(M4:M14))</f>
        <v>47.125</v>
      </c>
      <c r="N15" s="23">
        <f>SUM(N4:N14)</f>
        <v>4.489583333333333</v>
      </c>
      <c r="O15" s="37">
        <f>F15/SUM(HOUR(N15)+(ROUNDDOWN(N15,0)*24),PRODUCT(MINUTE(N15)/60))</f>
        <v>15.610208816705336</v>
      </c>
      <c r="P15" s="40">
        <f>SUM(P4:P14)/COUNT(F4:F14)</f>
        <v>15.736363636363636</v>
      </c>
      <c r="Q15" s="23">
        <f>SUM(Q4:Q14)</f>
        <v>0.77013888888888871</v>
      </c>
      <c r="R15" s="22"/>
      <c r="S15" s="22">
        <f>ROUND(SUM(S4:S14)/COUNT(S4:S14),0)</f>
        <v>177</v>
      </c>
      <c r="T15" s="22">
        <f>ROUND(SUM(T4:T14)/COUNT(T4:T14),0)</f>
        <v>692</v>
      </c>
      <c r="U15" s="24">
        <f>SUM(U4:U14)</f>
        <v>3431</v>
      </c>
      <c r="V15" s="22" t="e">
        <f>ROUND(SUM(V4:V14)/COUNT(V4:V14),0)</f>
        <v>#DIV/0!</v>
      </c>
      <c r="W15" s="22">
        <f>SUM(W14)</f>
        <v>0</v>
      </c>
      <c r="X15" s="22" t="e">
        <f>ROUND(SUM(X4:X14)/COUNT(V4:V14),0)</f>
        <v>#DIV/0!</v>
      </c>
      <c r="Y15" s="22">
        <f>SUM(Y14)</f>
        <v>-3431</v>
      </c>
      <c r="Z15" s="24">
        <f>SUM(Z4:Z14)</f>
        <v>3431</v>
      </c>
      <c r="AA15" s="22" t="e">
        <f>ROUND(SUM(AA4:AA14)/COUNT(AA4:AA14),0)</f>
        <v>#DIV/0!</v>
      </c>
      <c r="AB15" s="36" t="e">
        <f t="shared" ref="AB15:AG15" si="13">SUM(AB4:AB14)/COUNT(AB4:AB14)</f>
        <v>#DIV/0!</v>
      </c>
      <c r="AC15" s="36" t="e">
        <f t="shared" si="13"/>
        <v>#DIV/0!</v>
      </c>
      <c r="AD15" s="36" t="e">
        <f t="shared" si="13"/>
        <v>#DIV/0!</v>
      </c>
      <c r="AE15" s="36" t="e">
        <f t="shared" si="13"/>
        <v>#DIV/0!</v>
      </c>
      <c r="AF15" s="36" t="e">
        <f t="shared" si="13"/>
        <v>#DIV/0!</v>
      </c>
      <c r="AG15" s="36" t="e">
        <f t="shared" si="13"/>
        <v>#DIV/0!</v>
      </c>
      <c r="AH15" s="36" t="e">
        <f>SUM(AH4:AH14)/COUNT(AG4:AG14)</f>
        <v>#DIV/0!</v>
      </c>
    </row>
    <row r="16" spans="1:34" ht="13">
      <c r="Q16" s="11"/>
      <c r="R16" s="11"/>
      <c r="S16" s="11"/>
      <c r="W16" s="18"/>
      <c r="Y16" s="18"/>
    </row>
    <row r="17" spans="14:27" ht="13">
      <c r="O17" s="11"/>
      <c r="P17" s="11"/>
      <c r="Q17" s="11"/>
      <c r="R17" s="34"/>
      <c r="S17" s="11"/>
      <c r="T17" s="11"/>
      <c r="U17" s="11"/>
      <c r="V17" s="11"/>
      <c r="W17" s="18"/>
      <c r="X17" s="11"/>
      <c r="Y17" s="18"/>
      <c r="Z17" s="11"/>
      <c r="AA17" s="11"/>
    </row>
    <row r="18" spans="14:27" ht="13">
      <c r="N18" s="39"/>
      <c r="O18" s="11"/>
      <c r="P18" s="11"/>
      <c r="Q18" s="38"/>
      <c r="R18" s="38"/>
      <c r="S18" s="11"/>
      <c r="T18" s="11"/>
      <c r="U18" s="11"/>
      <c r="V18" s="11"/>
      <c r="W18" s="11"/>
      <c r="X18" s="11"/>
      <c r="Y18" s="11"/>
      <c r="Z18" s="11"/>
      <c r="AA18" s="11"/>
    </row>
    <row r="19" spans="14:27" ht="13">
      <c r="O19" s="11"/>
      <c r="P19" s="11"/>
      <c r="Q19" s="38"/>
      <c r="R19" s="38"/>
      <c r="S19" s="11"/>
      <c r="T19" s="11"/>
      <c r="U19" s="11"/>
      <c r="V19" s="11"/>
      <c r="W19" s="11"/>
      <c r="X19" s="11"/>
      <c r="Y19" s="11"/>
      <c r="Z19" s="11"/>
      <c r="AA19" s="11"/>
    </row>
    <row r="20" spans="14:27" ht="13">
      <c r="O20" s="11"/>
      <c r="P20" s="11"/>
      <c r="Q20" s="11"/>
      <c r="R20" s="38"/>
      <c r="S20" s="11"/>
      <c r="T20" s="11"/>
      <c r="U20" s="11"/>
      <c r="V20" s="11"/>
      <c r="W20" s="11"/>
      <c r="X20" s="11"/>
      <c r="Y20" s="11"/>
      <c r="Z20" s="11"/>
      <c r="AA20" s="11"/>
    </row>
    <row r="21" spans="14:27"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</row>
  </sheetData>
  <mergeCells count="4">
    <mergeCell ref="A1:F1"/>
    <mergeCell ref="A2:F2"/>
    <mergeCell ref="G1:AH1"/>
    <mergeCell ref="B15:E15"/>
  </mergeCells>
  <phoneticPr fontId="0" type="noConversion"/>
  <pageMargins left="0.59055118110236227" right="0.39370078740157483" top="0.98425196850393704" bottom="0.98425196850393704" header="0.51181102362204722" footer="0.51181102362204722"/>
  <pageSetup paperSize="9" scale="93" orientation="landscape" r:id="rId1"/>
  <headerFooter alignWithMargins="0"/>
  <colBreaks count="1" manualBreakCount="1">
    <brk id="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57852F-27D7-4984-80B3-8BAFC768F5D4}">
  <sheetPr codeName="Tabelle2"/>
  <dimension ref="A1"/>
  <sheetViews>
    <sheetView workbookViewId="0"/>
  </sheetViews>
  <sheetFormatPr baseColWidth="10" defaultRowHeight="12.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AEE7C8-11B4-48B7-A20D-FCE279208134}">
  <sheetPr codeName="Tabelle3"/>
  <dimension ref="A1"/>
  <sheetViews>
    <sheetView workbookViewId="0"/>
  </sheetViews>
  <sheetFormatPr baseColWidth="10" defaultRowHeight="12.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>MSCRM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christoph.gocke</dc:creator>
  <cp:lastModifiedBy>Gocke, Christoph</cp:lastModifiedBy>
  <cp:lastPrinted>2008-09-30T19:05:36Z</cp:lastPrinted>
  <dcterms:created xsi:type="dcterms:W3CDTF">2001-02-09T16:25:48Z</dcterms:created>
  <dcterms:modified xsi:type="dcterms:W3CDTF">2025-11-12T20:06:53Z</dcterms:modified>
</cp:coreProperties>
</file>