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43397BC1-1829-415C-9A49-79C8933D4DD1}" xr6:coauthVersionLast="47" xr6:coauthVersionMax="47" xr10:uidLastSave="{00000000-0000-0000-0000-000000000000}"/>
  <bookViews>
    <workbookView xWindow="-110" yWindow="-110" windowWidth="19420" windowHeight="10420" xr2:uid="{18032789-23C8-4172-B9A8-B22CF86AAFDF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P4" i="1"/>
  <c r="P12" i="1" s="1"/>
  <c r="Q4" i="1"/>
  <c r="R4" i="1" s="1"/>
  <c r="R5" i="1" s="1"/>
  <c r="R6" i="1" s="1"/>
  <c r="R7" i="1" s="1"/>
  <c r="R8" i="1" s="1"/>
  <c r="R9" i="1" s="1"/>
  <c r="R10" i="1" s="1"/>
  <c r="U4" i="1"/>
  <c r="W4" i="1"/>
  <c r="X4" i="1"/>
  <c r="Y4" i="1"/>
  <c r="Z4" i="1"/>
  <c r="AH4" i="1"/>
  <c r="AH12" i="1" s="1"/>
  <c r="G5" i="1"/>
  <c r="H5" i="1" s="1"/>
  <c r="K5" i="1"/>
  <c r="L5" i="1"/>
  <c r="P5" i="1"/>
  <c r="Q5" i="1"/>
  <c r="U5" i="1"/>
  <c r="W5" i="1"/>
  <c r="X5" i="1"/>
  <c r="Y5" i="1"/>
  <c r="Z5" i="1"/>
  <c r="AH5" i="1"/>
  <c r="K6" i="1"/>
  <c r="L6" i="1"/>
  <c r="P6" i="1"/>
  <c r="Q6" i="1"/>
  <c r="U6" i="1"/>
  <c r="U12" i="1" s="1"/>
  <c r="W6" i="1"/>
  <c r="X6" i="1"/>
  <c r="Y6" i="1"/>
  <c r="Y7" i="1" s="1"/>
  <c r="Y8" i="1" s="1"/>
  <c r="Y9" i="1" s="1"/>
  <c r="Y10" i="1" s="1"/>
  <c r="Y11" i="1" s="1"/>
  <c r="Y12" i="1" s="1"/>
  <c r="Z6" i="1"/>
  <c r="AH6" i="1"/>
  <c r="K7" i="1"/>
  <c r="L7" i="1"/>
  <c r="P7" i="1"/>
  <c r="Q7" i="1"/>
  <c r="U7" i="1"/>
  <c r="W7" i="1"/>
  <c r="W8" i="1" s="1"/>
  <c r="W9" i="1" s="1"/>
  <c r="W10" i="1" s="1"/>
  <c r="W11" i="1" s="1"/>
  <c r="W12" i="1" s="1"/>
  <c r="X7" i="1"/>
  <c r="Z7" i="1"/>
  <c r="AH7" i="1"/>
  <c r="K8" i="1"/>
  <c r="K9" i="1" s="1"/>
  <c r="K10" i="1" s="1"/>
  <c r="K11" i="1" s="1"/>
  <c r="L8" i="1"/>
  <c r="P8" i="1"/>
  <c r="Q8" i="1"/>
  <c r="U8" i="1"/>
  <c r="X8" i="1"/>
  <c r="Z8" i="1" s="1"/>
  <c r="AH8" i="1"/>
  <c r="L9" i="1"/>
  <c r="L12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F12" i="1"/>
  <c r="O12" i="1" s="1"/>
  <c r="J12" i="1"/>
  <c r="K12" i="1"/>
  <c r="M12" i="1"/>
  <c r="N12" i="1"/>
  <c r="S12" i="1"/>
  <c r="T12" i="1"/>
  <c r="V12" i="1"/>
  <c r="AA12" i="1"/>
  <c r="AB12" i="1"/>
  <c r="AC12" i="1"/>
  <c r="AD12" i="1"/>
  <c r="AE12" i="1"/>
  <c r="AF12" i="1"/>
  <c r="AG12" i="1"/>
  <c r="Z12" i="1" l="1"/>
  <c r="R11" i="1"/>
  <c r="Q12" i="1"/>
  <c r="I4" i="1"/>
  <c r="G6" i="1"/>
  <c r="X12" i="1"/>
  <c r="I5" i="1"/>
  <c r="I6" i="1" l="1"/>
  <c r="H6" i="1"/>
  <c r="G7" i="1"/>
  <c r="H7" i="1" l="1"/>
  <c r="I7" i="1"/>
  <c r="G8" i="1"/>
  <c r="H8" i="1" l="1"/>
  <c r="I8" i="1"/>
  <c r="G9" i="1"/>
  <c r="G10" i="1" l="1"/>
  <c r="H9" i="1"/>
  <c r="I9" i="1"/>
  <c r="G11" i="1" l="1"/>
  <c r="H10" i="1"/>
  <c r="I10" i="1"/>
  <c r="G12" i="1" l="1"/>
  <c r="H11" i="1"/>
  <c r="H12" i="1" s="1"/>
  <c r="I11" i="1"/>
  <c r="I12" i="1" s="1"/>
</calcChain>
</file>

<file path=xl/sharedStrings.xml><?xml version="1.0" encoding="utf-8"?>
<sst xmlns="http://schemas.openxmlformats.org/spreadsheetml/2006/main" count="69" uniqueCount="61">
  <si>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</si>
  <si>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</si>
  <si>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</si>
  <si>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</si>
  <si>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</si>
  <si>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</si>
  <si>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</si>
  <si>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</si>
  <si>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</si>
  <si>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</si>
  <si>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</si>
  <si>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</si>
  <si>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</si>
  <si>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</si>
  <si>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</si>
  <si>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</si>
  <si>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</si>
  <si>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</si>
  <si>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</si>
  <si>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</si>
  <si>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</si>
  <si>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</si>
  <si>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</si>
  <si>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</si>
  <si>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</si>
  <si>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</si>
  <si>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</si>
  <si>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</si>
  <si>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</si>
  <si>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</si>
  <si>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</si>
  <si>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</si>
  <si>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</si>
  <si>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</si>
  <si>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</si>
  <si>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</si>
  <si>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</si>
  <si>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</si>
  <si>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</si>
  <si>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</si>
  <si>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</si>
  <si>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</si>
  <si>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</si>
  <si>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Rhône: Quelle - Mündung (11.-18.4.2009)</t>
  </si>
  <si>
    <r>
      <t>Statistik</t>
    </r>
    <r>
      <rPr>
        <b/>
        <sz val="20"/>
        <rFont val="Arial"/>
        <family val="2"/>
      </rPr>
      <t xml:space="preserve"> Rhône: Quelle - Mündung (11.-18.4.2009)</t>
    </r>
  </si>
  <si>
    <t>Brig</t>
  </si>
  <si>
    <t>Simplon-Passstraße - Brig - Zug - Oberwald</t>
  </si>
  <si>
    <t>Visp - Zug - Zermatt - Visp</t>
  </si>
  <si>
    <t>Sion</t>
  </si>
  <si>
    <t>Montreux</t>
  </si>
  <si>
    <t>Lausanne</t>
  </si>
  <si>
    <t>Genf - Grenze Schweiz/Frankreich</t>
  </si>
  <si>
    <t>Seyssel</t>
  </si>
  <si>
    <t>Murs-et-Gélignieux - Montalieu-Vercieu</t>
  </si>
  <si>
    <t>Lyon</t>
  </si>
  <si>
    <t>Vienne - Tournon-sur-Rhône</t>
  </si>
  <si>
    <t>Saint-Péray</t>
  </si>
  <si>
    <t>Cruas - Viviers - Bagnols-sur-Cèze - Roquemaure</t>
  </si>
  <si>
    <t>Avignon</t>
  </si>
  <si>
    <t>Beaucaire - Fourques - Plage de Piémanson</t>
  </si>
  <si>
    <t>Salin-de-Giraud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</si>
</sst>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0" fontId="0" fillId="0" borderId="3" xfId="0" applyNumberFormat="1" applyBorder="1"/>
    <xf numFmtId="20" fontId="0" fillId="0" borderId="0" xfId="0" applyNumberFormat="1" applyBorder="1"/>
    <xf numFmtId="180" fontId="8" fillId="0" borderId="0" xfId="0" applyNumberFormat="1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EF41C-9906-4AC8-A301-9236EBE1052B}">
  <sheetPr codeName="Tabelle1"/>
  <dimension ref="A1:AH18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43</v>
      </c>
      <c r="B1" s="50"/>
      <c r="C1" s="50"/>
      <c r="D1" s="50"/>
      <c r="E1" s="50"/>
      <c r="F1" s="51"/>
      <c r="G1" s="53" t="s">
        <v>44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1" t="s">
        <v>35</v>
      </c>
      <c r="B4" s="32">
        <v>39914</v>
      </c>
      <c r="C4" s="5" t="s">
        <v>45</v>
      </c>
      <c r="D4" s="6" t="s">
        <v>46</v>
      </c>
      <c r="E4" s="4" t="s">
        <v>45</v>
      </c>
      <c r="F4" s="5">
        <v>60</v>
      </c>
      <c r="G4" s="13">
        <f>SUM(F4)</f>
        <v>60</v>
      </c>
      <c r="H4" s="14">
        <f>ROUND(PRODUCT(G4/1),0)</f>
        <v>60</v>
      </c>
      <c r="I4" s="14">
        <f>ROUND(PRODUCT(G4/COUNT(F4:F4)),0)</f>
        <v>60</v>
      </c>
      <c r="J4" s="42">
        <v>0.16666666666666666</v>
      </c>
      <c r="K4" s="20">
        <f>SUM(J4)</f>
        <v>0.16666666666666666</v>
      </c>
      <c r="L4" s="44">
        <f t="shared" ref="L4:L11" si="0">IF(F4=0,0,ROUND(PRODUCT(F4/SUM(HOUR(J4),PRODUCT(MINUTE(J4)/60))),1))</f>
        <v>15</v>
      </c>
      <c r="M4" s="45">
        <v>58.7</v>
      </c>
      <c r="N4" s="42">
        <v>0.25</v>
      </c>
      <c r="O4" s="20">
        <f>SUM(N4)</f>
        <v>0.25</v>
      </c>
      <c r="P4" s="44">
        <f t="shared" ref="P4:P11" si="1">IF(F4=0,0,ROUND(PRODUCT(F4/SUM(HOUR(N4),PRODUCT(MINUTE(N4)/60))),1))</f>
        <v>10</v>
      </c>
      <c r="Q4" s="20">
        <f t="shared" ref="Q4:Q11" si="2">SUM(N4,-J4)</f>
        <v>8.3333333333333343E-2</v>
      </c>
      <c r="R4" s="20">
        <f>SUM(Q4)</f>
        <v>8.3333333333333343E-2</v>
      </c>
      <c r="S4" s="14">
        <v>695</v>
      </c>
      <c r="T4" s="11">
        <v>695</v>
      </c>
      <c r="U4" s="15">
        <f>SUM(-S4,T4)</f>
        <v>0</v>
      </c>
      <c r="V4" s="14">
        <v>695</v>
      </c>
      <c r="W4" s="15">
        <f>SUM(V4)</f>
        <v>695</v>
      </c>
      <c r="X4" s="14">
        <f>SUM(S4,-T4,V4,700)</f>
        <v>1395</v>
      </c>
      <c r="Y4" s="15">
        <f>SUM(X4)</f>
        <v>1395</v>
      </c>
      <c r="Z4" s="15">
        <f t="shared" ref="Z4:Z11" si="3">SUM(V4,-X4)</f>
        <v>-700</v>
      </c>
      <c r="AA4" s="14">
        <v>1400</v>
      </c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1" t="s">
        <v>36</v>
      </c>
      <c r="B5" s="32">
        <v>39915</v>
      </c>
      <c r="C5" s="5" t="s">
        <v>45</v>
      </c>
      <c r="D5" s="6" t="s">
        <v>47</v>
      </c>
      <c r="E5" s="4" t="s">
        <v>48</v>
      </c>
      <c r="F5" s="5">
        <v>102</v>
      </c>
      <c r="G5" s="17">
        <f>SUM(G4,F5)</f>
        <v>162</v>
      </c>
      <c r="H5" s="11">
        <f>ROUND(PRODUCT(G5/2),0)</f>
        <v>81</v>
      </c>
      <c r="I5" s="11">
        <f>ROUND(PRODUCT(G5/COUNT(F4:F5)),0)</f>
        <v>81</v>
      </c>
      <c r="J5" s="43">
        <v>0.21319444444444444</v>
      </c>
      <c r="K5" s="21">
        <f t="shared" ref="K5:K11" si="4">SUM(J5,K4)</f>
        <v>0.37986111111111109</v>
      </c>
      <c r="L5" s="44">
        <f t="shared" si="0"/>
        <v>19.899999999999999</v>
      </c>
      <c r="M5" s="46">
        <v>55.7</v>
      </c>
      <c r="N5" s="43">
        <v>0.375</v>
      </c>
      <c r="O5" s="21">
        <f t="shared" ref="O5:O11" si="5">SUM(N5,O4)</f>
        <v>0.625</v>
      </c>
      <c r="P5" s="44">
        <f t="shared" si="1"/>
        <v>11.3</v>
      </c>
      <c r="Q5" s="21">
        <f t="shared" si="2"/>
        <v>0.16180555555555556</v>
      </c>
      <c r="R5" s="21">
        <f>SUM(Q5,R4)</f>
        <v>0.24513888888888891</v>
      </c>
      <c r="S5" s="11">
        <v>695</v>
      </c>
      <c r="T5" s="11">
        <v>545</v>
      </c>
      <c r="U5" s="18">
        <f>SUM(-S5,T5)</f>
        <v>-150</v>
      </c>
      <c r="V5" s="29">
        <v>356</v>
      </c>
      <c r="W5" s="18">
        <f t="shared" ref="W5:W11" si="6">SUM(W4,V5)</f>
        <v>1051</v>
      </c>
      <c r="X5" s="11">
        <f>SUM(S5,-T5,V5,1000)</f>
        <v>1506</v>
      </c>
      <c r="Y5" s="18">
        <f>SUM(Y4,X5)</f>
        <v>2901</v>
      </c>
      <c r="Z5" s="18">
        <f t="shared" si="3"/>
        <v>-1150</v>
      </c>
      <c r="AA5" s="11">
        <v>1650</v>
      </c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1" t="s">
        <v>37</v>
      </c>
      <c r="B6" s="32">
        <v>39916</v>
      </c>
      <c r="C6" s="5" t="s">
        <v>48</v>
      </c>
      <c r="D6" s="6" t="s">
        <v>49</v>
      </c>
      <c r="E6" s="4" t="s">
        <v>50</v>
      </c>
      <c r="F6" s="5">
        <v>110</v>
      </c>
      <c r="G6" s="17">
        <f t="shared" ref="G6:G11" si="7">SUM(G5,F6)</f>
        <v>272</v>
      </c>
      <c r="H6" s="11">
        <f>ROUND(PRODUCT(G6/3),0)</f>
        <v>91</v>
      </c>
      <c r="I6" s="11">
        <f>ROUND(PRODUCT(G6/COUNT(F4:F6)),0)</f>
        <v>91</v>
      </c>
      <c r="J6" s="43">
        <v>0.27083333333333331</v>
      </c>
      <c r="K6" s="21">
        <f t="shared" si="4"/>
        <v>0.65069444444444446</v>
      </c>
      <c r="L6" s="44">
        <f t="shared" si="0"/>
        <v>16.899999999999999</v>
      </c>
      <c r="M6" s="46">
        <v>38.5</v>
      </c>
      <c r="N6" s="43">
        <v>0.375</v>
      </c>
      <c r="O6" s="21">
        <f t="shared" si="5"/>
        <v>1</v>
      </c>
      <c r="P6" s="44">
        <f t="shared" si="1"/>
        <v>12.2</v>
      </c>
      <c r="Q6" s="21">
        <f t="shared" si="2"/>
        <v>0.10416666666666669</v>
      </c>
      <c r="R6" s="21">
        <f t="shared" ref="R6:R11" si="8">SUM(Q6,R5)</f>
        <v>0.34930555555555559</v>
      </c>
      <c r="S6" s="11">
        <v>545</v>
      </c>
      <c r="T6" s="29">
        <v>430</v>
      </c>
      <c r="U6" s="18">
        <f t="shared" ref="U6:U11" si="9">SUM(-S6,T6)</f>
        <v>-115</v>
      </c>
      <c r="V6" s="29">
        <v>493</v>
      </c>
      <c r="W6" s="18">
        <f t="shared" si="6"/>
        <v>1544</v>
      </c>
      <c r="X6" s="11">
        <f t="shared" ref="X6:X11" si="10">SUM(S6,-T6,V6)</f>
        <v>608</v>
      </c>
      <c r="Y6" s="18">
        <f t="shared" ref="Y6:Y11" si="11">SUM(Y5,X6)</f>
        <v>3509</v>
      </c>
      <c r="Z6" s="18">
        <f t="shared" si="3"/>
        <v>-115</v>
      </c>
      <c r="AA6" s="11">
        <v>545</v>
      </c>
      <c r="AB6" s="11"/>
      <c r="AC6" s="30"/>
      <c r="AD6" s="29"/>
      <c r="AE6" s="30"/>
      <c r="AF6" s="30"/>
      <c r="AG6" s="30"/>
      <c r="AH6" s="19">
        <f t="shared" ref="AH6:AH11" si="12">SUM(AG6,-AF6)</f>
        <v>0</v>
      </c>
    </row>
    <row r="7" spans="1:34" ht="13">
      <c r="A7" s="41" t="s">
        <v>38</v>
      </c>
      <c r="B7" s="32">
        <v>39917</v>
      </c>
      <c r="C7" s="5" t="s">
        <v>50</v>
      </c>
      <c r="D7" s="6" t="s">
        <v>51</v>
      </c>
      <c r="E7" s="4" t="s">
        <v>52</v>
      </c>
      <c r="F7" s="5">
        <v>128</v>
      </c>
      <c r="G7" s="17">
        <f t="shared" si="7"/>
        <v>400</v>
      </c>
      <c r="H7" s="11">
        <f>ROUND(PRODUCT(G7/4),0)</f>
        <v>100</v>
      </c>
      <c r="I7" s="11">
        <f>ROUND(PRODUCT(G7/COUNT(F4:F7)),0)</f>
        <v>100</v>
      </c>
      <c r="J7" s="43">
        <v>0.30416666666666664</v>
      </c>
      <c r="K7" s="21">
        <f t="shared" si="4"/>
        <v>0.95486111111111116</v>
      </c>
      <c r="L7" s="44">
        <f t="shared" si="0"/>
        <v>17.5</v>
      </c>
      <c r="M7" s="47">
        <v>54.3</v>
      </c>
      <c r="N7" s="43">
        <v>0.45833333333333331</v>
      </c>
      <c r="O7" s="21">
        <f t="shared" si="5"/>
        <v>1.4583333333333333</v>
      </c>
      <c r="P7" s="44">
        <f t="shared" si="1"/>
        <v>11.6</v>
      </c>
      <c r="Q7" s="21">
        <f t="shared" si="2"/>
        <v>0.15416666666666667</v>
      </c>
      <c r="R7" s="21">
        <f t="shared" si="8"/>
        <v>0.50347222222222232</v>
      </c>
      <c r="S7" s="29">
        <v>430</v>
      </c>
      <c r="T7" s="29">
        <v>254</v>
      </c>
      <c r="U7" s="18">
        <f t="shared" si="9"/>
        <v>-176</v>
      </c>
      <c r="V7" s="29">
        <v>1094</v>
      </c>
      <c r="W7" s="18">
        <f t="shared" si="6"/>
        <v>2638</v>
      </c>
      <c r="X7" s="11">
        <f t="shared" si="10"/>
        <v>1270</v>
      </c>
      <c r="Y7" s="18">
        <f t="shared" si="11"/>
        <v>4779</v>
      </c>
      <c r="Z7" s="18">
        <f t="shared" si="3"/>
        <v>-176</v>
      </c>
      <c r="AA7" s="29">
        <v>517</v>
      </c>
      <c r="AB7" s="29"/>
      <c r="AC7" s="30"/>
      <c r="AD7" s="29"/>
      <c r="AE7" s="30"/>
      <c r="AF7" s="30"/>
      <c r="AG7" s="30"/>
      <c r="AH7" s="19">
        <f t="shared" si="12"/>
        <v>0</v>
      </c>
    </row>
    <row r="8" spans="1:34" ht="13">
      <c r="A8" s="41" t="s">
        <v>39</v>
      </c>
      <c r="B8" s="32">
        <v>39918</v>
      </c>
      <c r="C8" s="5" t="s">
        <v>52</v>
      </c>
      <c r="D8" s="6" t="s">
        <v>53</v>
      </c>
      <c r="E8" s="4" t="s">
        <v>54</v>
      </c>
      <c r="F8" s="5">
        <v>145</v>
      </c>
      <c r="G8" s="17">
        <f t="shared" si="7"/>
        <v>545</v>
      </c>
      <c r="H8" s="11">
        <f>ROUND(PRODUCT(G8/5),0)</f>
        <v>109</v>
      </c>
      <c r="I8" s="11">
        <f>ROUND(PRODUCT(G8/COUNT(F4:F8)),0)</f>
        <v>109</v>
      </c>
      <c r="J8" s="43">
        <v>0.3520833333333333</v>
      </c>
      <c r="K8" s="21">
        <f t="shared" si="4"/>
        <v>1.3069444444444445</v>
      </c>
      <c r="L8" s="44">
        <f t="shared" si="0"/>
        <v>17.2</v>
      </c>
      <c r="M8" s="47">
        <v>45.4</v>
      </c>
      <c r="N8" s="43">
        <v>0.5</v>
      </c>
      <c r="O8" s="21">
        <f t="shared" si="5"/>
        <v>1.9583333333333333</v>
      </c>
      <c r="P8" s="44">
        <f t="shared" si="1"/>
        <v>12.1</v>
      </c>
      <c r="Q8" s="21">
        <f t="shared" si="2"/>
        <v>0.1479166666666667</v>
      </c>
      <c r="R8" s="21">
        <f t="shared" si="8"/>
        <v>0.65138888888888902</v>
      </c>
      <c r="S8" s="29">
        <v>254</v>
      </c>
      <c r="T8" s="29">
        <v>224</v>
      </c>
      <c r="U8" s="18">
        <f t="shared" si="9"/>
        <v>-30</v>
      </c>
      <c r="V8" s="29">
        <v>738</v>
      </c>
      <c r="W8" s="18">
        <f t="shared" si="6"/>
        <v>3376</v>
      </c>
      <c r="X8" s="11">
        <f t="shared" si="10"/>
        <v>768</v>
      </c>
      <c r="Y8" s="18">
        <f t="shared" si="11"/>
        <v>5547</v>
      </c>
      <c r="Z8" s="18">
        <f t="shared" si="3"/>
        <v>-30</v>
      </c>
      <c r="AA8" s="29">
        <v>300</v>
      </c>
      <c r="AB8" s="29"/>
      <c r="AC8" s="30"/>
      <c r="AD8" s="29"/>
      <c r="AE8" s="30"/>
      <c r="AF8" s="30"/>
      <c r="AG8" s="30"/>
      <c r="AH8" s="19">
        <f t="shared" si="12"/>
        <v>0</v>
      </c>
    </row>
    <row r="9" spans="1:34" ht="13">
      <c r="A9" s="41" t="s">
        <v>40</v>
      </c>
      <c r="B9" s="32">
        <v>39919</v>
      </c>
      <c r="C9" s="5" t="s">
        <v>54</v>
      </c>
      <c r="D9" s="6" t="s">
        <v>55</v>
      </c>
      <c r="E9" s="4" t="s">
        <v>56</v>
      </c>
      <c r="F9" s="5">
        <v>115</v>
      </c>
      <c r="G9" s="17">
        <f t="shared" si="7"/>
        <v>660</v>
      </c>
      <c r="H9" s="11">
        <f>ROUND(PRODUCT(G9/6),0)</f>
        <v>110</v>
      </c>
      <c r="I9" s="11">
        <f>ROUND(PRODUCT(G9/COUNT(F4:F9)),0)</f>
        <v>110</v>
      </c>
      <c r="J9" s="43">
        <v>0.27083333333333331</v>
      </c>
      <c r="K9" s="21">
        <f t="shared" si="4"/>
        <v>1.5777777777777777</v>
      </c>
      <c r="L9" s="44">
        <f t="shared" si="0"/>
        <v>17.7</v>
      </c>
      <c r="M9" s="47">
        <v>51.3</v>
      </c>
      <c r="N9" s="43">
        <v>0.3888888888888889</v>
      </c>
      <c r="O9" s="21">
        <f t="shared" si="5"/>
        <v>2.3472222222222223</v>
      </c>
      <c r="P9" s="44">
        <f t="shared" si="1"/>
        <v>12.3</v>
      </c>
      <c r="Q9" s="21">
        <f t="shared" si="2"/>
        <v>0.11805555555555558</v>
      </c>
      <c r="R9" s="21">
        <f t="shared" si="8"/>
        <v>0.7694444444444446</v>
      </c>
      <c r="S9" s="29">
        <v>224</v>
      </c>
      <c r="T9" s="29">
        <v>136</v>
      </c>
      <c r="U9" s="18">
        <f t="shared" si="9"/>
        <v>-88</v>
      </c>
      <c r="V9" s="29">
        <v>417</v>
      </c>
      <c r="W9" s="18">
        <f t="shared" si="6"/>
        <v>3793</v>
      </c>
      <c r="X9" s="11">
        <f t="shared" si="10"/>
        <v>505</v>
      </c>
      <c r="Y9" s="18">
        <f t="shared" si="11"/>
        <v>6052</v>
      </c>
      <c r="Z9" s="18">
        <f t="shared" si="3"/>
        <v>-88</v>
      </c>
      <c r="AA9" s="29">
        <v>224</v>
      </c>
      <c r="AB9" s="29"/>
      <c r="AC9" s="30"/>
      <c r="AD9" s="29"/>
      <c r="AE9" s="30"/>
      <c r="AF9" s="30"/>
      <c r="AG9" s="30"/>
      <c r="AH9" s="19">
        <f t="shared" si="12"/>
        <v>0</v>
      </c>
    </row>
    <row r="10" spans="1:34" ht="13">
      <c r="A10" s="41" t="s">
        <v>41</v>
      </c>
      <c r="B10" s="32">
        <v>39920</v>
      </c>
      <c r="C10" s="5" t="s">
        <v>56</v>
      </c>
      <c r="D10" s="6" t="s">
        <v>57</v>
      </c>
      <c r="E10" s="4" t="s">
        <v>58</v>
      </c>
      <c r="F10" s="5">
        <v>140</v>
      </c>
      <c r="G10" s="17">
        <f t="shared" si="7"/>
        <v>800</v>
      </c>
      <c r="H10" s="11">
        <f>ROUND(PRODUCT(G10/7),0)</f>
        <v>114</v>
      </c>
      <c r="I10" s="11">
        <f>ROUND(PRODUCT(G10/COUNT(F4:F10)),0)</f>
        <v>114</v>
      </c>
      <c r="J10" s="43">
        <v>0.29305555555555557</v>
      </c>
      <c r="K10" s="21">
        <f t="shared" si="4"/>
        <v>1.8708333333333333</v>
      </c>
      <c r="L10" s="44">
        <f t="shared" si="0"/>
        <v>19.899999999999999</v>
      </c>
      <c r="M10" s="47">
        <v>48.8</v>
      </c>
      <c r="N10" s="43">
        <v>0.36458333333333331</v>
      </c>
      <c r="O10" s="21">
        <f t="shared" si="5"/>
        <v>2.7118055555555558</v>
      </c>
      <c r="P10" s="44">
        <f t="shared" si="1"/>
        <v>16</v>
      </c>
      <c r="Q10" s="21">
        <f t="shared" si="2"/>
        <v>7.1527777777777746E-2</v>
      </c>
      <c r="R10" s="21">
        <f t="shared" si="8"/>
        <v>0.84097222222222234</v>
      </c>
      <c r="S10" s="29">
        <v>136</v>
      </c>
      <c r="T10" s="29">
        <v>26</v>
      </c>
      <c r="U10" s="18">
        <f t="shared" si="9"/>
        <v>-110</v>
      </c>
      <c r="V10" s="29">
        <v>610</v>
      </c>
      <c r="W10" s="18">
        <f t="shared" si="6"/>
        <v>4403</v>
      </c>
      <c r="X10" s="11">
        <f t="shared" si="10"/>
        <v>720</v>
      </c>
      <c r="Y10" s="18">
        <f t="shared" si="11"/>
        <v>6772</v>
      </c>
      <c r="Z10" s="18">
        <f t="shared" si="3"/>
        <v>-110</v>
      </c>
      <c r="AA10" s="29">
        <v>136</v>
      </c>
      <c r="AB10" s="11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40" t="s">
        <v>42</v>
      </c>
      <c r="B11" s="32">
        <v>39921</v>
      </c>
      <c r="C11" s="5" t="s">
        <v>58</v>
      </c>
      <c r="D11" s="6" t="s">
        <v>59</v>
      </c>
      <c r="E11" s="4" t="s">
        <v>60</v>
      </c>
      <c r="F11" s="5">
        <v>105</v>
      </c>
      <c r="G11" s="17">
        <f t="shared" si="7"/>
        <v>905</v>
      </c>
      <c r="H11" s="11">
        <f>ROUND(PRODUCT(G11/8),0)</f>
        <v>113</v>
      </c>
      <c r="I11" s="11">
        <f>ROUND(PRODUCT(G11/COUNT(F4:F11)),0)</f>
        <v>113</v>
      </c>
      <c r="J11" s="43">
        <v>0.19305555555555554</v>
      </c>
      <c r="K11" s="21">
        <f t="shared" si="4"/>
        <v>2.0638888888888891</v>
      </c>
      <c r="L11" s="44">
        <f t="shared" si="0"/>
        <v>22.7</v>
      </c>
      <c r="M11" s="47">
        <v>32.6</v>
      </c>
      <c r="N11" s="43">
        <v>0.20833333333333334</v>
      </c>
      <c r="O11" s="21">
        <f t="shared" si="5"/>
        <v>2.9201388888888893</v>
      </c>
      <c r="P11" s="44">
        <f t="shared" si="1"/>
        <v>21</v>
      </c>
      <c r="Q11" s="21">
        <f t="shared" si="2"/>
        <v>1.5277777777777807E-2</v>
      </c>
      <c r="R11" s="21">
        <f t="shared" si="8"/>
        <v>0.85625000000000018</v>
      </c>
      <c r="S11" s="29">
        <v>26</v>
      </c>
      <c r="T11" s="29">
        <v>0</v>
      </c>
      <c r="U11" s="18">
        <f t="shared" si="9"/>
        <v>-26</v>
      </c>
      <c r="V11" s="29">
        <v>253</v>
      </c>
      <c r="W11" s="18">
        <f t="shared" si="6"/>
        <v>4656</v>
      </c>
      <c r="X11" s="11">
        <f t="shared" si="10"/>
        <v>279</v>
      </c>
      <c r="Y11" s="18">
        <f t="shared" si="11"/>
        <v>7051</v>
      </c>
      <c r="Z11" s="18">
        <f t="shared" si="3"/>
        <v>-26</v>
      </c>
      <c r="AA11" s="29">
        <v>26</v>
      </c>
      <c r="AB11" s="29"/>
      <c r="AC11" s="30"/>
      <c r="AD11" s="29"/>
      <c r="AE11" s="30"/>
      <c r="AF11" s="30"/>
      <c r="AG11" s="30"/>
      <c r="AH11" s="19">
        <f t="shared" si="12"/>
        <v>0</v>
      </c>
    </row>
    <row r="12" spans="1:34" ht="13">
      <c r="A12" s="31" t="s">
        <v>5</v>
      </c>
      <c r="B12" s="56"/>
      <c r="C12" s="57"/>
      <c r="D12" s="57"/>
      <c r="E12" s="58"/>
      <c r="F12" s="33">
        <f>SUM(F4:F11)</f>
        <v>905</v>
      </c>
      <c r="G12" s="22">
        <f>SUM(G11)</f>
        <v>905</v>
      </c>
      <c r="H12" s="22">
        <f>SUM(H11)</f>
        <v>113</v>
      </c>
      <c r="I12" s="22">
        <f>SUM(I11)</f>
        <v>113</v>
      </c>
      <c r="J12" s="23">
        <f>SUM(J4:J11)</f>
        <v>2.0638888888888891</v>
      </c>
      <c r="K12" s="36">
        <f>F12/SUM(HOUR(J12)+(ROUNDDOWN(J12,0)*24),PRODUCT(MINUTE(J12)/60))</f>
        <v>18.270524899057875</v>
      </c>
      <c r="L12" s="39">
        <f>SUM(L4:L11)/COUNT(F4:F11)</f>
        <v>18.349999999999998</v>
      </c>
      <c r="M12" s="48">
        <f>PRODUCT(SUM(M4:M11),1/COUNT(M4:M11))</f>
        <v>48.162500000000001</v>
      </c>
      <c r="N12" s="23">
        <f>SUM(N4:N11)</f>
        <v>2.9201388888888893</v>
      </c>
      <c r="O12" s="36">
        <f>F12/SUM(HOUR(N12)+(ROUNDDOWN(N12,0)*24),PRODUCT(MINUTE(N12)/60))</f>
        <v>12.913198573127231</v>
      </c>
      <c r="P12" s="39">
        <f>SUM(P4:P11)/COUNT(F4:F11)</f>
        <v>13.3125</v>
      </c>
      <c r="Q12" s="23">
        <f>SUM(Q4:Q11)</f>
        <v>0.85625000000000018</v>
      </c>
      <c r="R12" s="22"/>
      <c r="S12" s="22">
        <f>ROUND(SUM(S4:S11)/COUNT(S4:S11),0)</f>
        <v>376</v>
      </c>
      <c r="T12" s="22">
        <f>ROUND(SUM(T4:T11)/COUNT(T4:T11),0)</f>
        <v>289</v>
      </c>
      <c r="U12" s="24">
        <f>SUM(U4:U11)</f>
        <v>-695</v>
      </c>
      <c r="V12" s="22">
        <f>ROUND(SUM(V4:V11)/COUNT(V4:V11),0)</f>
        <v>582</v>
      </c>
      <c r="W12" s="22">
        <f>SUM(W11)</f>
        <v>4656</v>
      </c>
      <c r="X12" s="22">
        <f>ROUND(SUM(X4:X11)/COUNT(V4:V11),0)</f>
        <v>881</v>
      </c>
      <c r="Y12" s="22">
        <f>SUM(Y11)</f>
        <v>7051</v>
      </c>
      <c r="Z12" s="24">
        <f>SUM(Z4:Z11)</f>
        <v>-2395</v>
      </c>
      <c r="AA12" s="22">
        <f>ROUND(SUM(AA4:AA11)/COUNT(AA4:AA11),0)</f>
        <v>600</v>
      </c>
      <c r="AB12" s="35" t="e">
        <f t="shared" ref="AB12:AG12" si="13">SUM(AB4:AB11)/COUNT(AB4:AB11)</f>
        <v>#DIV/0!</v>
      </c>
      <c r="AC12" s="35" t="e">
        <f t="shared" si="13"/>
        <v>#DIV/0!</v>
      </c>
      <c r="AD12" s="35" t="e">
        <f t="shared" si="13"/>
        <v>#DIV/0!</v>
      </c>
      <c r="AE12" s="35" t="e">
        <f t="shared" si="13"/>
        <v>#DIV/0!</v>
      </c>
      <c r="AF12" s="35" t="e">
        <f t="shared" si="13"/>
        <v>#DIV/0!</v>
      </c>
      <c r="AG12" s="35" t="e">
        <f t="shared" si="13"/>
        <v>#DIV/0!</v>
      </c>
      <c r="AH12" s="35" t="e">
        <f>SUM(AH4:AH11)/COUNT(AG4:AG11)</f>
        <v>#DIV/0!</v>
      </c>
    </row>
    <row r="13" spans="1:34" ht="13">
      <c r="Q13" s="11"/>
      <c r="R13" s="11"/>
      <c r="S13" s="11"/>
      <c r="W13" s="18"/>
      <c r="Y13" s="18"/>
    </row>
    <row r="14" spans="1:34" ht="13">
      <c r="O14" s="11"/>
      <c r="P14" s="11"/>
      <c r="Q14" s="11"/>
      <c r="R14" s="34"/>
      <c r="S14" s="11"/>
      <c r="T14" s="11"/>
      <c r="U14" s="11"/>
      <c r="V14" s="11"/>
      <c r="W14" s="18"/>
      <c r="X14" s="11"/>
      <c r="Y14" s="18"/>
      <c r="Z14" s="11"/>
      <c r="AA14" s="11"/>
    </row>
    <row r="15" spans="1:34" ht="13">
      <c r="N15" s="38"/>
      <c r="O15" s="11"/>
      <c r="P15" s="11"/>
      <c r="Q15" s="37"/>
      <c r="R15" s="37"/>
      <c r="S15" s="11"/>
      <c r="T15" s="11"/>
      <c r="U15" s="11"/>
      <c r="V15" s="11"/>
      <c r="W15" s="11"/>
      <c r="X15" s="11"/>
      <c r="Y15" s="11"/>
      <c r="Z15" s="11"/>
      <c r="AA15" s="11"/>
    </row>
    <row r="16" spans="1:34" ht="13">
      <c r="O16" s="11"/>
      <c r="P16" s="11"/>
      <c r="Q16" s="37"/>
      <c r="R16" s="37"/>
      <c r="S16" s="11"/>
      <c r="T16" s="11"/>
      <c r="U16" s="11"/>
      <c r="V16" s="11"/>
      <c r="W16" s="11"/>
      <c r="X16" s="11"/>
      <c r="Y16" s="11"/>
      <c r="Z16" s="11"/>
      <c r="AA16" s="11"/>
    </row>
    <row r="17" spans="15:27" ht="13">
      <c r="O17" s="11"/>
      <c r="P17" s="11"/>
      <c r="Q17" s="11"/>
      <c r="R17" s="37"/>
      <c r="S17" s="11"/>
      <c r="T17" s="11"/>
      <c r="U17" s="11"/>
      <c r="V17" s="11"/>
      <c r="W17" s="11"/>
      <c r="X17" s="11"/>
      <c r="Y17" s="11"/>
      <c r="Z17" s="11"/>
      <c r="AA17" s="11"/>
    </row>
    <row r="18" spans="15:27"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7BF2-CFF1-48C5-9D4D-9D2E85B14DAB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CFE18-0925-4AEA-8183-41E8973F64D5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2025-11-12T20:11:02Z</dcterms:modified>
</cp:coreProperties>
</file>