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C06EA2F-9650-44BF-AE66-36945EF00E23}" xr6:coauthVersionLast="47" xr6:coauthVersionMax="47" xr10:uidLastSave="{00000000-0000-0000-0000-000000000000}"/>
  <bookViews>
    <workbookView xWindow="-110" yWindow="-110" windowWidth="19420" windowHeight="10420" xr2:uid="{9A22D98D-2C72-4C63-94C9-ECE9DC231D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23" i="1" s="1"/>
  <c r="O4" i="1"/>
  <c r="P4" i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AH4" i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X5" i="1"/>
  <c r="Z5" i="1"/>
  <c r="AH5" i="1"/>
  <c r="K6" i="1"/>
  <c r="L6" i="1"/>
  <c r="P6" i="1"/>
  <c r="Q6" i="1"/>
  <c r="U6" i="1"/>
  <c r="U23" i="1" s="1"/>
  <c r="X6" i="1"/>
  <c r="Z6" i="1"/>
  <c r="AH6" i="1"/>
  <c r="AH23" i="1" s="1"/>
  <c r="K7" i="1"/>
  <c r="L7" i="1"/>
  <c r="P7" i="1"/>
  <c r="Q7" i="1"/>
  <c r="U7" i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P23" i="1" s="1"/>
  <c r="Q19" i="1"/>
  <c r="U19" i="1"/>
  <c r="X19" i="1"/>
  <c r="Z19" i="1" s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F23" i="1"/>
  <c r="K23" i="1" s="1"/>
  <c r="J23" i="1"/>
  <c r="M23" i="1"/>
  <c r="N23" i="1"/>
  <c r="S23" i="1"/>
  <c r="T23" i="1"/>
  <c r="V23" i="1"/>
  <c r="AA23" i="1"/>
  <c r="AB23" i="1"/>
  <c r="AC23" i="1"/>
  <c r="AD23" i="1"/>
  <c r="AE23" i="1"/>
  <c r="AF23" i="1"/>
  <c r="AG23" i="1"/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Z23" i="1"/>
  <c r="O23" i="1"/>
  <c r="G6" i="1"/>
  <c r="X23" i="1"/>
  <c r="I4" i="1"/>
  <c r="I5" i="1"/>
  <c r="Q23" i="1"/>
  <c r="I6" i="1" l="1"/>
  <c r="G7" i="1"/>
  <c r="H6" i="1"/>
  <c r="G8" i="1" l="1"/>
  <c r="H7" i="1"/>
  <c r="I7" i="1"/>
  <c r="G9" i="1" l="1"/>
  <c r="H8" i="1"/>
  <c r="I8" i="1"/>
  <c r="H9" i="1" l="1"/>
  <c r="G10" i="1"/>
  <c r="I9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G16" i="1" l="1"/>
  <c r="I15" i="1"/>
  <c r="H15" i="1"/>
  <c r="G17" i="1" l="1"/>
  <c r="H16" i="1"/>
  <c r="I16" i="1"/>
  <c r="H17" i="1" l="1"/>
  <c r="G18" i="1"/>
  <c r="I17" i="1"/>
  <c r="G19" i="1" l="1"/>
  <c r="I18" i="1"/>
  <c r="H18" i="1"/>
  <c r="G20" i="1" l="1"/>
  <c r="H19" i="1"/>
  <c r="I19" i="1"/>
  <c r="H20" i="1" l="1"/>
  <c r="I20" i="1"/>
  <c r="G21" i="1"/>
  <c r="H21" i="1" l="1"/>
  <c r="I21" i="1"/>
  <c r="G22" i="1"/>
  <c r="I22" i="1" l="1"/>
  <c r="I23" i="1" s="1"/>
  <c r="H22" i="1"/>
  <c r="H23" i="1" s="1"/>
  <c r="G23" i="1"/>
</calcChain>
</file>

<file path=xl/sharedStrings.xml><?xml version="1.0" encoding="utf-8"?>
<sst xmlns="http://schemas.openxmlformats.org/spreadsheetml/2006/main" count="95" uniqueCount="77">
  <si>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</si>
  <si>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</si>
  <si>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</si>
  <si>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</si>
  <si>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</si>
  <si>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</si>
  <si>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</si>
  <si>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</si>
  <si>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</si>
  <si>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</si>
  <si>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</si>
  <si>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</si>
  <si>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</si>
  <si>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</si>
  <si>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</si>
  <si>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</si>
  <si>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</si>
  <si>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</si>
  <si>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</si>
  <si>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</si>
  <si>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</si>
  <si>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</si>
  <si>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</si>
  <si>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</si>
  <si>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</si>
  <si>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</si>
  <si>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</si>
  <si>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</si>
  <si>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</si>
  <si>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</si>
  <si>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</si>
  <si>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</si>
  <si>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</si>
  <si>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</si>
  <si>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</si>
  <si>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</si>
  <si>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</si>
  <si>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</si>
  <si>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</si>
  <si>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</si>
  <si>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</si>
  <si>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</si>
  <si>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</si>
  <si>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</si>
  <si>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</si>
  <si>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</si>
  <si>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</si>
  <si>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</si>
  <si>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</si>
  <si>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</si>
  <si>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</si>
  <si>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</si>
  <si>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</si>
  <si>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</si>
  <si>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Meroe</t>
  </si>
  <si>
    <t>Shendi</t>
  </si>
  <si>
    <t>Khartum</t>
  </si>
  <si>
    <t>Wad Madani</t>
  </si>
  <si>
    <t>Gedaref</t>
  </si>
  <si>
    <t>Gallabat [-13 km]</t>
  </si>
  <si>
    <t>Grenze Sudan/Äthiopien</t>
  </si>
  <si>
    <t>Nagara Shebit [+6 km]</t>
  </si>
  <si>
    <t>Gonder</t>
  </si>
  <si>
    <t>Bahir Dar</t>
  </si>
  <si>
    <t>Dangla</t>
  </si>
  <si>
    <t>Addis Kidame</t>
  </si>
  <si>
    <t>Injibara (2560 m)</t>
  </si>
  <si>
    <t>Dembecha</t>
  </si>
  <si>
    <t>Debre Markos</t>
  </si>
  <si>
    <t>Dejen</t>
  </si>
  <si>
    <t>Nile Gorge</t>
  </si>
  <si>
    <t>Goha Tsion</t>
  </si>
  <si>
    <t>Pass (3100 m) - Fiche</t>
  </si>
  <si>
    <t>Debre Libanos</t>
  </si>
  <si>
    <t>Addis Abeba</t>
  </si>
  <si>
    <t>Khartum - Addis Abeba (1.-19.3.2010)</t>
  </si>
  <si>
    <r>
      <t xml:space="preserve">Statistik </t>
    </r>
    <r>
      <rPr>
        <b/>
        <sz val="20"/>
        <rFont val="Arial"/>
        <family val="2"/>
      </rPr>
      <t>Khartum - Addis Abeba (1.-19.3.2010)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</si>
</sst>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4" fillId="0" borderId="1" xfId="0" applyFont="1" applyBorder="1" applyAlignment="1">
      <alignment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0" fontId="4" fillId="0" borderId="1" xfId="0" applyFont="1" applyBorder="1" applyAlignmen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2F25-60A9-489C-AD22-AD96CBDA97D1}">
  <sheetPr codeName="Tabelle1"/>
  <dimension ref="A1:AH2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75</v>
      </c>
      <c r="B1" s="50"/>
      <c r="C1" s="50"/>
      <c r="D1" s="50"/>
      <c r="E1" s="50"/>
      <c r="F1" s="51"/>
      <c r="G1" s="53" t="s">
        <v>76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53</v>
      </c>
      <c r="M3" s="25" t="s">
        <v>25</v>
      </c>
      <c r="N3" s="25" t="s">
        <v>14</v>
      </c>
      <c r="O3" s="26" t="s">
        <v>33</v>
      </c>
      <c r="P3" s="25" t="s">
        <v>52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6" t="s">
        <v>35</v>
      </c>
      <c r="B4" s="32">
        <v>40238</v>
      </c>
      <c r="C4" s="5" t="s">
        <v>54</v>
      </c>
      <c r="D4" s="6" t="s">
        <v>55</v>
      </c>
      <c r="E4" s="4" t="s">
        <v>56</v>
      </c>
      <c r="F4" s="35">
        <v>231</v>
      </c>
      <c r="G4" s="13">
        <f>SUM(F4)</f>
        <v>231</v>
      </c>
      <c r="H4" s="14">
        <f>ROUND(PRODUCT(G4/1),0)</f>
        <v>231</v>
      </c>
      <c r="I4" s="14">
        <f>ROUND(PRODUCT(G4/COUNT(F4:F4)),0)</f>
        <v>231</v>
      </c>
      <c r="J4" s="41">
        <v>0.47291666666666665</v>
      </c>
      <c r="K4" s="20">
        <f>SUM(J4)</f>
        <v>0.47291666666666665</v>
      </c>
      <c r="L4" s="47">
        <f t="shared" ref="L4:L22" si="0">IF(F4=0,0,ROUND(PRODUCT(F4/SUM(HOUR(J4),PRODUCT(MINUTE(J4)/60))),1))</f>
        <v>20.399999999999999</v>
      </c>
      <c r="M4" s="36">
        <v>37</v>
      </c>
      <c r="N4" s="41">
        <v>0.64583333333333337</v>
      </c>
      <c r="O4" s="20">
        <f>SUM(N4)</f>
        <v>0.64583333333333337</v>
      </c>
      <c r="P4" s="47">
        <f t="shared" ref="P4:P22" si="1">IF(F4=0,0,ROUND(PRODUCT(F4/SUM(HOUR(N4),PRODUCT(MINUTE(N4)/60))),1))</f>
        <v>14.9</v>
      </c>
      <c r="Q4" s="20">
        <f t="shared" ref="Q4:Q22" si="2">SUM(N4,-J4)</f>
        <v>0.17291666666666672</v>
      </c>
      <c r="R4" s="20">
        <f>SUM(Q4)</f>
        <v>0.17291666666666672</v>
      </c>
      <c r="S4" s="14">
        <v>350</v>
      </c>
      <c r="T4" s="11">
        <v>380</v>
      </c>
      <c r="U4" s="15">
        <f>SUM(-S4,T4)</f>
        <v>30</v>
      </c>
      <c r="V4" s="14">
        <v>305</v>
      </c>
      <c r="W4" s="15">
        <f>SUM(V4)</f>
        <v>305</v>
      </c>
      <c r="X4" s="14">
        <f t="shared" ref="X4:X22" si="3">SUM(S4,-T4,V4)</f>
        <v>275</v>
      </c>
      <c r="Y4" s="15">
        <f>SUM(X4)</f>
        <v>275</v>
      </c>
      <c r="Z4" s="15">
        <f t="shared" ref="Z4:Z22" si="4">SUM(V4,-X4)</f>
        <v>30</v>
      </c>
      <c r="AA4" s="14">
        <v>408</v>
      </c>
      <c r="AB4" s="14">
        <v>1</v>
      </c>
      <c r="AC4" s="14">
        <v>5</v>
      </c>
      <c r="AD4" s="14"/>
      <c r="AE4" s="14"/>
      <c r="AF4" s="14">
        <v>21</v>
      </c>
      <c r="AG4" s="14">
        <v>41</v>
      </c>
      <c r="AH4" s="16">
        <f>SUM(AG4,-AF4)</f>
        <v>20</v>
      </c>
    </row>
    <row r="5" spans="1:34" ht="13">
      <c r="A5" s="6" t="s">
        <v>36</v>
      </c>
      <c r="B5" s="32">
        <v>40239</v>
      </c>
      <c r="C5" s="5" t="s">
        <v>56</v>
      </c>
      <c r="D5" s="6"/>
      <c r="E5" s="4" t="s">
        <v>57</v>
      </c>
      <c r="F5" s="35">
        <v>193</v>
      </c>
      <c r="G5" s="17">
        <f>SUM(G4,F5)</f>
        <v>424</v>
      </c>
      <c r="H5" s="11">
        <f>ROUND(PRODUCT(G5/2),0)</f>
        <v>212</v>
      </c>
      <c r="I5" s="11">
        <f>ROUND(PRODUCT(G5/COUNT(F4:F5)),0)</f>
        <v>212</v>
      </c>
      <c r="J5" s="42">
        <v>0.3520833333333333</v>
      </c>
      <c r="K5" s="21">
        <f t="shared" ref="K5:K22" si="5">SUM(J5,K4)</f>
        <v>0.82499999999999996</v>
      </c>
      <c r="L5" s="47">
        <f t="shared" si="0"/>
        <v>22.8</v>
      </c>
      <c r="M5" s="37">
        <v>32</v>
      </c>
      <c r="N5" s="42">
        <v>0.52083333333333337</v>
      </c>
      <c r="O5" s="21">
        <f t="shared" ref="O5:O22" si="6">SUM(N5,O4)</f>
        <v>1.1666666666666667</v>
      </c>
      <c r="P5" s="47">
        <f t="shared" si="1"/>
        <v>15.4</v>
      </c>
      <c r="Q5" s="21">
        <f t="shared" si="2"/>
        <v>0.16875000000000007</v>
      </c>
      <c r="R5" s="21">
        <f>SUM(Q5,R4)</f>
        <v>0.34166666666666679</v>
      </c>
      <c r="S5" s="11">
        <v>380</v>
      </c>
      <c r="T5" s="11">
        <v>450</v>
      </c>
      <c r="U5" s="18">
        <f>SUM(-S5,T5)</f>
        <v>70</v>
      </c>
      <c r="V5" s="29">
        <v>121</v>
      </c>
      <c r="W5" s="18">
        <f t="shared" ref="W5:W22" si="7">SUM(W4,V5)</f>
        <v>426</v>
      </c>
      <c r="X5" s="11">
        <f t="shared" si="3"/>
        <v>51</v>
      </c>
      <c r="Y5" s="18">
        <f>SUM(Y4,X5)</f>
        <v>326</v>
      </c>
      <c r="Z5" s="18">
        <f t="shared" si="4"/>
        <v>70</v>
      </c>
      <c r="AA5" s="11">
        <v>461</v>
      </c>
      <c r="AB5" s="11">
        <v>1</v>
      </c>
      <c r="AC5" s="30">
        <v>4</v>
      </c>
      <c r="AD5" s="29"/>
      <c r="AE5" s="30"/>
      <c r="AF5" s="30">
        <v>24</v>
      </c>
      <c r="AG5" s="30">
        <v>39</v>
      </c>
      <c r="AH5" s="19">
        <f>SUM(AG5,-AF5)</f>
        <v>15</v>
      </c>
    </row>
    <row r="6" spans="1:34" ht="13">
      <c r="A6" s="6" t="s">
        <v>37</v>
      </c>
      <c r="B6" s="32">
        <v>40240</v>
      </c>
      <c r="C6" s="5" t="s">
        <v>57</v>
      </c>
      <c r="D6" s="6"/>
      <c r="E6" s="4" t="s">
        <v>58</v>
      </c>
      <c r="F6" s="35">
        <v>237</v>
      </c>
      <c r="G6" s="17">
        <f t="shared" ref="G6:G22" si="8">SUM(G5,F6)</f>
        <v>661</v>
      </c>
      <c r="H6" s="11">
        <f>ROUND(PRODUCT(G6/3),0)</f>
        <v>220</v>
      </c>
      <c r="I6" s="11">
        <f>ROUND(PRODUCT(G6/COUNT(F4:F6)),0)</f>
        <v>220</v>
      </c>
      <c r="J6" s="42">
        <v>0.50694444444444442</v>
      </c>
      <c r="K6" s="21">
        <f t="shared" si="5"/>
        <v>1.3319444444444444</v>
      </c>
      <c r="L6" s="47">
        <f t="shared" si="0"/>
        <v>19.5</v>
      </c>
      <c r="M6" s="37">
        <v>40</v>
      </c>
      <c r="N6" s="42">
        <v>0.71527777777777779</v>
      </c>
      <c r="O6" s="21">
        <f t="shared" si="6"/>
        <v>1.8819444444444446</v>
      </c>
      <c r="P6" s="47">
        <f t="shared" si="1"/>
        <v>13.8</v>
      </c>
      <c r="Q6" s="21">
        <f t="shared" si="2"/>
        <v>0.20833333333333337</v>
      </c>
      <c r="R6" s="21">
        <f t="shared" ref="R6:R22" si="9">SUM(Q6,R5)</f>
        <v>0.55000000000000016</v>
      </c>
      <c r="S6" s="11">
        <v>450</v>
      </c>
      <c r="T6" s="29">
        <v>649</v>
      </c>
      <c r="U6" s="18">
        <f t="shared" ref="U6:U22" si="10">SUM(-S6,T6)</f>
        <v>199</v>
      </c>
      <c r="V6" s="29">
        <v>365</v>
      </c>
      <c r="W6" s="18">
        <f t="shared" si="7"/>
        <v>791</v>
      </c>
      <c r="X6" s="11">
        <f t="shared" si="3"/>
        <v>166</v>
      </c>
      <c r="Y6" s="18">
        <f t="shared" ref="Y6:Y22" si="11">SUM(Y5,X6)</f>
        <v>492</v>
      </c>
      <c r="Z6" s="18">
        <f t="shared" si="4"/>
        <v>199</v>
      </c>
      <c r="AA6" s="11">
        <v>649</v>
      </c>
      <c r="AB6" s="11">
        <v>1</v>
      </c>
      <c r="AC6" s="30">
        <v>3</v>
      </c>
      <c r="AD6" s="29"/>
      <c r="AE6" s="30"/>
      <c r="AF6" s="30">
        <v>21</v>
      </c>
      <c r="AG6" s="30">
        <v>36</v>
      </c>
      <c r="AH6" s="19">
        <f t="shared" ref="AH6:AH22" si="12">SUM(AG6,-AF6)</f>
        <v>15</v>
      </c>
    </row>
    <row r="7" spans="1:34" ht="13">
      <c r="A7" s="6" t="s">
        <v>38</v>
      </c>
      <c r="B7" s="32">
        <v>40241</v>
      </c>
      <c r="C7" s="5" t="s">
        <v>58</v>
      </c>
      <c r="D7" s="6"/>
      <c r="E7" s="4" t="s">
        <v>59</v>
      </c>
      <c r="F7" s="35">
        <v>146</v>
      </c>
      <c r="G7" s="17">
        <f t="shared" si="8"/>
        <v>807</v>
      </c>
      <c r="H7" s="11">
        <f>ROUND(PRODUCT(G7/4),0)</f>
        <v>202</v>
      </c>
      <c r="I7" s="11">
        <f>ROUND(PRODUCT(G7/COUNT(F4:F7)),0)</f>
        <v>202</v>
      </c>
      <c r="J7" s="42">
        <v>0.30277777777777776</v>
      </c>
      <c r="K7" s="21">
        <f t="shared" si="5"/>
        <v>1.6347222222222222</v>
      </c>
      <c r="L7" s="47">
        <f t="shared" si="0"/>
        <v>20.100000000000001</v>
      </c>
      <c r="M7" s="38">
        <v>46.5</v>
      </c>
      <c r="N7" s="42">
        <v>0.58333333333333337</v>
      </c>
      <c r="O7" s="21">
        <f t="shared" si="6"/>
        <v>2.4652777777777781</v>
      </c>
      <c r="P7" s="47">
        <f t="shared" si="1"/>
        <v>10.4</v>
      </c>
      <c r="Q7" s="21">
        <f t="shared" si="2"/>
        <v>0.28055555555555561</v>
      </c>
      <c r="R7" s="21">
        <f t="shared" si="9"/>
        <v>0.83055555555555571</v>
      </c>
      <c r="S7" s="29">
        <v>649</v>
      </c>
      <c r="T7" s="29">
        <v>728</v>
      </c>
      <c r="U7" s="18">
        <f t="shared" si="10"/>
        <v>79</v>
      </c>
      <c r="V7" s="29">
        <v>469</v>
      </c>
      <c r="W7" s="18">
        <f t="shared" si="7"/>
        <v>1260</v>
      </c>
      <c r="X7" s="11">
        <f t="shared" si="3"/>
        <v>390</v>
      </c>
      <c r="Y7" s="18">
        <f t="shared" si="11"/>
        <v>882</v>
      </c>
      <c r="Z7" s="18">
        <f t="shared" si="4"/>
        <v>79</v>
      </c>
      <c r="AA7" s="29">
        <v>763</v>
      </c>
      <c r="AB7" s="29">
        <v>1</v>
      </c>
      <c r="AC7" s="30">
        <v>5</v>
      </c>
      <c r="AD7" s="29"/>
      <c r="AE7" s="30"/>
      <c r="AF7" s="30">
        <v>25</v>
      </c>
      <c r="AG7" s="30">
        <v>45</v>
      </c>
      <c r="AH7" s="19">
        <f t="shared" si="12"/>
        <v>20</v>
      </c>
    </row>
    <row r="8" spans="1:34" ht="13">
      <c r="A8" s="6" t="s">
        <v>39</v>
      </c>
      <c r="B8" s="32">
        <v>40242</v>
      </c>
      <c r="C8" s="5" t="s">
        <v>59</v>
      </c>
      <c r="D8" s="6" t="s">
        <v>60</v>
      </c>
      <c r="E8" s="4" t="s">
        <v>61</v>
      </c>
      <c r="F8" s="35">
        <v>108</v>
      </c>
      <c r="G8" s="17">
        <f t="shared" si="8"/>
        <v>915</v>
      </c>
      <c r="H8" s="11">
        <f>ROUND(PRODUCT(G8/5),0)</f>
        <v>183</v>
      </c>
      <c r="I8" s="11">
        <f>ROUND(PRODUCT(G8/COUNT(F4:F8)),0)</f>
        <v>183</v>
      </c>
      <c r="J8" s="42">
        <v>0.25416666666666665</v>
      </c>
      <c r="K8" s="21">
        <f t="shared" si="5"/>
        <v>1.8888888888888888</v>
      </c>
      <c r="L8" s="47">
        <f t="shared" si="0"/>
        <v>17.7</v>
      </c>
      <c r="M8" s="38">
        <v>63</v>
      </c>
      <c r="N8" s="42">
        <v>0.5</v>
      </c>
      <c r="O8" s="21">
        <f t="shared" si="6"/>
        <v>2.9652777777777781</v>
      </c>
      <c r="P8" s="47">
        <f t="shared" si="1"/>
        <v>9</v>
      </c>
      <c r="Q8" s="21">
        <f t="shared" si="2"/>
        <v>0.24583333333333335</v>
      </c>
      <c r="R8" s="21">
        <f t="shared" si="9"/>
        <v>1.0763888888888891</v>
      </c>
      <c r="S8" s="29">
        <v>728</v>
      </c>
      <c r="T8" s="29">
        <v>1239</v>
      </c>
      <c r="U8" s="18">
        <f t="shared" si="10"/>
        <v>511</v>
      </c>
      <c r="V8" s="29">
        <v>1036</v>
      </c>
      <c r="W8" s="18">
        <f t="shared" si="7"/>
        <v>2296</v>
      </c>
      <c r="X8" s="11">
        <f t="shared" si="3"/>
        <v>525</v>
      </c>
      <c r="Y8" s="18">
        <f t="shared" si="11"/>
        <v>1407</v>
      </c>
      <c r="Z8" s="18">
        <f t="shared" si="4"/>
        <v>511</v>
      </c>
      <c r="AA8" s="29">
        <v>1233</v>
      </c>
      <c r="AB8" s="29">
        <v>2</v>
      </c>
      <c r="AC8" s="30">
        <v>11</v>
      </c>
      <c r="AD8" s="29"/>
      <c r="AE8" s="30"/>
      <c r="AF8" s="30">
        <v>25</v>
      </c>
      <c r="AG8" s="30">
        <v>45</v>
      </c>
      <c r="AH8" s="19">
        <f t="shared" si="12"/>
        <v>20</v>
      </c>
    </row>
    <row r="9" spans="1:34" ht="13">
      <c r="A9" s="6" t="s">
        <v>40</v>
      </c>
      <c r="B9" s="32">
        <v>40243</v>
      </c>
      <c r="C9" s="5" t="s">
        <v>61</v>
      </c>
      <c r="D9" s="6"/>
      <c r="E9" s="4" t="s">
        <v>62</v>
      </c>
      <c r="F9" s="35">
        <v>103</v>
      </c>
      <c r="G9" s="17">
        <f t="shared" si="8"/>
        <v>1018</v>
      </c>
      <c r="H9" s="11">
        <f>ROUND(PRODUCT(G9/6),0)</f>
        <v>170</v>
      </c>
      <c r="I9" s="11">
        <f>ROUND(PRODUCT(G9/COUNT(F4:F9)),0)</f>
        <v>170</v>
      </c>
      <c r="J9" s="42">
        <v>0.3430555555555555</v>
      </c>
      <c r="K9" s="21">
        <f t="shared" si="5"/>
        <v>2.2319444444444443</v>
      </c>
      <c r="L9" s="47">
        <f t="shared" si="0"/>
        <v>12.5</v>
      </c>
      <c r="M9" s="38">
        <v>73</v>
      </c>
      <c r="N9" s="42">
        <v>0.54166666666666663</v>
      </c>
      <c r="O9" s="21">
        <f t="shared" si="6"/>
        <v>3.5069444444444446</v>
      </c>
      <c r="P9" s="47">
        <f t="shared" si="1"/>
        <v>7.9</v>
      </c>
      <c r="Q9" s="21">
        <f t="shared" si="2"/>
        <v>0.19861111111111113</v>
      </c>
      <c r="R9" s="21">
        <f t="shared" si="9"/>
        <v>1.2750000000000001</v>
      </c>
      <c r="S9" s="29">
        <v>1239</v>
      </c>
      <c r="T9" s="29">
        <v>2214</v>
      </c>
      <c r="U9" s="18">
        <f t="shared" si="10"/>
        <v>975</v>
      </c>
      <c r="V9" s="29">
        <v>2276</v>
      </c>
      <c r="W9" s="18">
        <f t="shared" si="7"/>
        <v>4572</v>
      </c>
      <c r="X9" s="11">
        <f t="shared" si="3"/>
        <v>1301</v>
      </c>
      <c r="Y9" s="18">
        <f t="shared" si="11"/>
        <v>2708</v>
      </c>
      <c r="Z9" s="18">
        <f t="shared" si="4"/>
        <v>975</v>
      </c>
      <c r="AA9" s="29">
        <v>2209</v>
      </c>
      <c r="AB9" s="29">
        <v>4</v>
      </c>
      <c r="AC9" s="30">
        <v>14</v>
      </c>
      <c r="AD9" s="29"/>
      <c r="AE9" s="30"/>
      <c r="AF9" s="30">
        <v>18</v>
      </c>
      <c r="AG9" s="30">
        <v>42</v>
      </c>
      <c r="AH9" s="19">
        <f t="shared" si="12"/>
        <v>24</v>
      </c>
    </row>
    <row r="10" spans="1:34" ht="13">
      <c r="A10" s="6" t="s">
        <v>41</v>
      </c>
      <c r="B10" s="32">
        <v>40244</v>
      </c>
      <c r="C10" s="5"/>
      <c r="D10" s="6" t="s">
        <v>62</v>
      </c>
      <c r="E10" s="4"/>
      <c r="F10" s="35"/>
      <c r="G10" s="17">
        <f t="shared" si="8"/>
        <v>1018</v>
      </c>
      <c r="H10" s="11">
        <f>ROUND(PRODUCT(G10/7),0)</f>
        <v>145</v>
      </c>
      <c r="I10" s="11">
        <f>ROUND(PRODUCT(G10/COUNT(F4:F10)),0)</f>
        <v>170</v>
      </c>
      <c r="J10" s="42"/>
      <c r="K10" s="21">
        <f t="shared" si="5"/>
        <v>2.2319444444444443</v>
      </c>
      <c r="L10" s="47">
        <f t="shared" si="0"/>
        <v>0</v>
      </c>
      <c r="M10" s="37"/>
      <c r="N10" s="42"/>
      <c r="O10" s="21">
        <f t="shared" si="6"/>
        <v>3.5069444444444446</v>
      </c>
      <c r="P10" s="47">
        <f t="shared" si="1"/>
        <v>0</v>
      </c>
      <c r="Q10" s="21">
        <f t="shared" si="2"/>
        <v>0</v>
      </c>
      <c r="R10" s="21">
        <f t="shared" si="9"/>
        <v>1.2750000000000001</v>
      </c>
      <c r="S10" s="29"/>
      <c r="T10" s="11"/>
      <c r="U10" s="18">
        <f t="shared" si="10"/>
        <v>0</v>
      </c>
      <c r="V10" s="29"/>
      <c r="W10" s="18">
        <f t="shared" si="7"/>
        <v>4572</v>
      </c>
      <c r="X10" s="11">
        <f t="shared" si="3"/>
        <v>0</v>
      </c>
      <c r="Y10" s="18">
        <f t="shared" si="11"/>
        <v>2708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6" t="s">
        <v>42</v>
      </c>
      <c r="B11" s="32">
        <v>40245</v>
      </c>
      <c r="C11" s="5" t="s">
        <v>62</v>
      </c>
      <c r="D11" s="35"/>
      <c r="E11" s="4" t="s">
        <v>63</v>
      </c>
      <c r="F11" s="35">
        <v>175</v>
      </c>
      <c r="G11" s="17">
        <f t="shared" si="8"/>
        <v>1193</v>
      </c>
      <c r="H11" s="11">
        <f>ROUND(PRODUCT(G11/8),0)</f>
        <v>149</v>
      </c>
      <c r="I11" s="11">
        <f>ROUND(PRODUCT(G11/COUNT(F4:F11)),0)</f>
        <v>170</v>
      </c>
      <c r="J11" s="42">
        <v>0.36944444444444446</v>
      </c>
      <c r="K11" s="21">
        <f t="shared" si="5"/>
        <v>2.6013888888888888</v>
      </c>
      <c r="L11" s="47">
        <f t="shared" si="0"/>
        <v>19.7</v>
      </c>
      <c r="M11" s="38">
        <v>61.5</v>
      </c>
      <c r="N11" s="42">
        <v>0.47916666666666669</v>
      </c>
      <c r="O11" s="21">
        <f t="shared" si="6"/>
        <v>3.9861111111111112</v>
      </c>
      <c r="P11" s="47">
        <f t="shared" si="1"/>
        <v>15.2</v>
      </c>
      <c r="Q11" s="21">
        <f t="shared" si="2"/>
        <v>0.10972222222222222</v>
      </c>
      <c r="R11" s="21">
        <f t="shared" si="9"/>
        <v>1.3847222222222224</v>
      </c>
      <c r="S11" s="29">
        <v>2214</v>
      </c>
      <c r="T11" s="29">
        <v>2003</v>
      </c>
      <c r="U11" s="18">
        <f t="shared" si="10"/>
        <v>-211</v>
      </c>
      <c r="V11" s="29">
        <v>1414</v>
      </c>
      <c r="W11" s="18">
        <f t="shared" si="7"/>
        <v>5986</v>
      </c>
      <c r="X11" s="11">
        <f t="shared" si="3"/>
        <v>1625</v>
      </c>
      <c r="Y11" s="18">
        <f t="shared" si="11"/>
        <v>4333</v>
      </c>
      <c r="Z11" s="18">
        <f t="shared" si="4"/>
        <v>-211</v>
      </c>
      <c r="AA11" s="29">
        <v>2276</v>
      </c>
      <c r="AB11" s="29">
        <v>3</v>
      </c>
      <c r="AC11" s="30">
        <v>18</v>
      </c>
      <c r="AD11" s="29"/>
      <c r="AE11" s="30"/>
      <c r="AF11" s="30">
        <v>21</v>
      </c>
      <c r="AG11" s="30">
        <v>41</v>
      </c>
      <c r="AH11" s="19">
        <f t="shared" si="12"/>
        <v>20</v>
      </c>
    </row>
    <row r="12" spans="1:34" ht="13">
      <c r="A12" s="6" t="s">
        <v>43</v>
      </c>
      <c r="B12" s="32">
        <v>40246</v>
      </c>
      <c r="C12" s="5"/>
      <c r="D12" s="6" t="s">
        <v>63</v>
      </c>
      <c r="E12" s="4"/>
      <c r="F12" s="35"/>
      <c r="G12" s="17">
        <f t="shared" si="8"/>
        <v>1193</v>
      </c>
      <c r="H12" s="11">
        <f>ROUND(PRODUCT(G12/9),0)</f>
        <v>133</v>
      </c>
      <c r="I12" s="11">
        <f>ROUND(PRODUCT(G12/COUNT(F4:F12)),0)</f>
        <v>170</v>
      </c>
      <c r="J12" s="42"/>
      <c r="K12" s="21">
        <f t="shared" si="5"/>
        <v>2.6013888888888888</v>
      </c>
      <c r="L12" s="47">
        <f t="shared" si="0"/>
        <v>0</v>
      </c>
      <c r="M12" s="37"/>
      <c r="N12" s="42"/>
      <c r="O12" s="21">
        <f t="shared" si="6"/>
        <v>3.9861111111111112</v>
      </c>
      <c r="P12" s="47">
        <f t="shared" si="1"/>
        <v>0</v>
      </c>
      <c r="Q12" s="21">
        <f t="shared" si="2"/>
        <v>0</v>
      </c>
      <c r="R12" s="21">
        <f t="shared" si="9"/>
        <v>1.3847222222222224</v>
      </c>
      <c r="S12" s="11"/>
      <c r="T12" s="11"/>
      <c r="U12" s="18">
        <f t="shared" si="10"/>
        <v>0</v>
      </c>
      <c r="V12" s="29"/>
      <c r="W12" s="18">
        <f t="shared" si="7"/>
        <v>5986</v>
      </c>
      <c r="X12" s="11">
        <f t="shared" si="3"/>
        <v>0</v>
      </c>
      <c r="Y12" s="18">
        <f t="shared" si="11"/>
        <v>4333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40247</v>
      </c>
      <c r="C13" s="5" t="s">
        <v>63</v>
      </c>
      <c r="D13" s="6"/>
      <c r="E13" s="4" t="s">
        <v>64</v>
      </c>
      <c r="F13" s="35">
        <v>78</v>
      </c>
      <c r="G13" s="17">
        <f t="shared" si="8"/>
        <v>1271</v>
      </c>
      <c r="H13" s="11">
        <f>ROUND(PRODUCT(G13/10),0)</f>
        <v>127</v>
      </c>
      <c r="I13" s="11">
        <f>ROUND(PRODUCT(G13/COUNT(F4:F13)),0)</f>
        <v>159</v>
      </c>
      <c r="J13" s="42">
        <v>0.17847222222222223</v>
      </c>
      <c r="K13" s="21">
        <f t="shared" si="5"/>
        <v>2.7798611111111109</v>
      </c>
      <c r="L13" s="47">
        <f t="shared" si="0"/>
        <v>18.2</v>
      </c>
      <c r="M13" s="38">
        <v>57</v>
      </c>
      <c r="N13" s="42">
        <v>0.35416666666666669</v>
      </c>
      <c r="O13" s="21">
        <f t="shared" si="6"/>
        <v>4.3402777777777777</v>
      </c>
      <c r="P13" s="47">
        <f t="shared" si="1"/>
        <v>9.1999999999999993</v>
      </c>
      <c r="Q13" s="21">
        <f t="shared" si="2"/>
        <v>0.17569444444444446</v>
      </c>
      <c r="R13" s="21">
        <f t="shared" si="9"/>
        <v>1.5604166666666668</v>
      </c>
      <c r="S13" s="29">
        <v>2003</v>
      </c>
      <c r="T13" s="29">
        <v>2130</v>
      </c>
      <c r="U13" s="18">
        <f t="shared" si="10"/>
        <v>127</v>
      </c>
      <c r="V13" s="29">
        <v>663</v>
      </c>
      <c r="W13" s="18">
        <f t="shared" si="7"/>
        <v>6649</v>
      </c>
      <c r="X13" s="11">
        <f t="shared" si="3"/>
        <v>536</v>
      </c>
      <c r="Y13" s="18">
        <f t="shared" si="11"/>
        <v>4869</v>
      </c>
      <c r="Z13" s="18">
        <f t="shared" si="4"/>
        <v>127</v>
      </c>
      <c r="AA13" s="29">
        <v>2143</v>
      </c>
      <c r="AB13" s="29">
        <v>3</v>
      </c>
      <c r="AC13" s="30">
        <v>8</v>
      </c>
      <c r="AD13" s="29"/>
      <c r="AE13" s="30"/>
      <c r="AF13" s="30">
        <v>27</v>
      </c>
      <c r="AG13" s="30">
        <v>40</v>
      </c>
      <c r="AH13" s="19">
        <f t="shared" si="12"/>
        <v>13</v>
      </c>
    </row>
    <row r="14" spans="1:34" ht="13">
      <c r="A14" s="6" t="s">
        <v>7</v>
      </c>
      <c r="B14" s="32">
        <v>40248</v>
      </c>
      <c r="C14" s="5" t="s">
        <v>64</v>
      </c>
      <c r="D14" s="6"/>
      <c r="E14" s="4" t="s">
        <v>65</v>
      </c>
      <c r="F14" s="35">
        <v>22</v>
      </c>
      <c r="G14" s="17">
        <f t="shared" si="8"/>
        <v>1293</v>
      </c>
      <c r="H14" s="11">
        <f>ROUND(PRODUCT(G14/11),0)</f>
        <v>118</v>
      </c>
      <c r="I14" s="11">
        <f>ROUND(PRODUCT(G14/COUNT(F4:F14)),0)</f>
        <v>144</v>
      </c>
      <c r="J14" s="42">
        <v>6.7361111111111108E-2</v>
      </c>
      <c r="K14" s="21">
        <f t="shared" si="5"/>
        <v>2.8472222222222219</v>
      </c>
      <c r="L14" s="47">
        <f t="shared" si="0"/>
        <v>13.6</v>
      </c>
      <c r="M14" s="38">
        <v>36.5</v>
      </c>
      <c r="N14" s="42">
        <v>0.21527777777777779</v>
      </c>
      <c r="O14" s="21">
        <f t="shared" si="6"/>
        <v>4.5555555555555554</v>
      </c>
      <c r="P14" s="47">
        <f t="shared" si="1"/>
        <v>4.3</v>
      </c>
      <c r="Q14" s="21">
        <f t="shared" si="2"/>
        <v>0.1479166666666667</v>
      </c>
      <c r="R14" s="21">
        <f t="shared" si="9"/>
        <v>1.7083333333333335</v>
      </c>
      <c r="S14" s="29">
        <v>2130</v>
      </c>
      <c r="T14" s="29">
        <v>2463</v>
      </c>
      <c r="U14" s="18">
        <f t="shared" si="10"/>
        <v>333</v>
      </c>
      <c r="V14" s="29">
        <v>364</v>
      </c>
      <c r="W14" s="18">
        <f t="shared" si="7"/>
        <v>7013</v>
      </c>
      <c r="X14" s="11">
        <f t="shared" si="3"/>
        <v>31</v>
      </c>
      <c r="Y14" s="18">
        <f t="shared" si="11"/>
        <v>4900</v>
      </c>
      <c r="Z14" s="18">
        <f t="shared" si="4"/>
        <v>333</v>
      </c>
      <c r="AA14" s="29">
        <v>2463</v>
      </c>
      <c r="AB14" s="29">
        <v>2</v>
      </c>
      <c r="AC14" s="30">
        <v>8</v>
      </c>
      <c r="AD14" s="29"/>
      <c r="AE14" s="30"/>
      <c r="AF14" s="30">
        <v>30</v>
      </c>
      <c r="AG14" s="30">
        <v>36</v>
      </c>
      <c r="AH14" s="19">
        <f t="shared" si="12"/>
        <v>6</v>
      </c>
    </row>
    <row r="15" spans="1:34" ht="13">
      <c r="A15" s="6" t="s">
        <v>44</v>
      </c>
      <c r="B15" s="32">
        <v>40249</v>
      </c>
      <c r="C15" s="5"/>
      <c r="D15" s="6" t="s">
        <v>65</v>
      </c>
      <c r="E15" s="4"/>
      <c r="F15" s="35"/>
      <c r="G15" s="17">
        <f t="shared" si="8"/>
        <v>1293</v>
      </c>
      <c r="H15" s="11">
        <f>ROUND(PRODUCT(G15/12),0)</f>
        <v>108</v>
      </c>
      <c r="I15" s="11">
        <f>ROUND(PRODUCT(G15/COUNT(F4:F15)),0)</f>
        <v>144</v>
      </c>
      <c r="J15" s="42"/>
      <c r="K15" s="21">
        <f t="shared" si="5"/>
        <v>2.8472222222222219</v>
      </c>
      <c r="L15" s="47">
        <f t="shared" si="0"/>
        <v>0</v>
      </c>
      <c r="M15" s="37"/>
      <c r="N15" s="42"/>
      <c r="O15" s="21">
        <f t="shared" si="6"/>
        <v>4.5555555555555554</v>
      </c>
      <c r="P15" s="47">
        <f t="shared" si="1"/>
        <v>0</v>
      </c>
      <c r="Q15" s="21">
        <f t="shared" si="2"/>
        <v>0</v>
      </c>
      <c r="R15" s="21">
        <f t="shared" si="9"/>
        <v>1.7083333333333335</v>
      </c>
      <c r="S15" s="11"/>
      <c r="T15" s="11"/>
      <c r="U15" s="18">
        <f t="shared" si="10"/>
        <v>0</v>
      </c>
      <c r="V15" s="29"/>
      <c r="W15" s="18">
        <f t="shared" si="7"/>
        <v>7013</v>
      </c>
      <c r="X15" s="11">
        <f t="shared" si="3"/>
        <v>0</v>
      </c>
      <c r="Y15" s="18">
        <f t="shared" si="11"/>
        <v>4900</v>
      </c>
      <c r="Z15" s="18">
        <f t="shared" si="4"/>
        <v>0</v>
      </c>
      <c r="AA15" s="11"/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45</v>
      </c>
      <c r="B16" s="32">
        <v>40250</v>
      </c>
      <c r="C16" s="5"/>
      <c r="D16" s="6" t="s">
        <v>65</v>
      </c>
      <c r="E16" s="4"/>
      <c r="F16" s="45"/>
      <c r="G16" s="17">
        <f t="shared" si="8"/>
        <v>1293</v>
      </c>
      <c r="H16" s="11">
        <f>ROUND(PRODUCT(G16/13),0)</f>
        <v>99</v>
      </c>
      <c r="I16" s="11">
        <f>ROUND(PRODUCT(G16/COUNT(F4:F16)),0)</f>
        <v>144</v>
      </c>
      <c r="J16" s="42"/>
      <c r="K16" s="21">
        <f t="shared" si="5"/>
        <v>2.8472222222222219</v>
      </c>
      <c r="L16" s="47">
        <f t="shared" si="0"/>
        <v>0</v>
      </c>
      <c r="M16" s="37"/>
      <c r="N16" s="42"/>
      <c r="O16" s="21">
        <f t="shared" si="6"/>
        <v>4.5555555555555554</v>
      </c>
      <c r="P16" s="47">
        <f t="shared" si="1"/>
        <v>0</v>
      </c>
      <c r="Q16" s="21">
        <f t="shared" si="2"/>
        <v>0</v>
      </c>
      <c r="R16" s="21">
        <f t="shared" si="9"/>
        <v>1.7083333333333335</v>
      </c>
      <c r="S16" s="11"/>
      <c r="T16" s="11"/>
      <c r="U16" s="18">
        <f t="shared" si="10"/>
        <v>0</v>
      </c>
      <c r="V16" s="29"/>
      <c r="W16" s="18">
        <f t="shared" si="7"/>
        <v>7013</v>
      </c>
      <c r="X16" s="11">
        <f t="shared" si="3"/>
        <v>0</v>
      </c>
      <c r="Y16" s="18">
        <f t="shared" si="11"/>
        <v>4900</v>
      </c>
      <c r="Z16" s="18">
        <f t="shared" si="4"/>
        <v>0</v>
      </c>
      <c r="AA16" s="11"/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46</v>
      </c>
      <c r="B17" s="32">
        <v>40251</v>
      </c>
      <c r="C17" s="5"/>
      <c r="D17" s="6" t="s">
        <v>65</v>
      </c>
      <c r="E17" s="4"/>
      <c r="F17" s="35"/>
      <c r="G17" s="17">
        <f t="shared" si="8"/>
        <v>1293</v>
      </c>
      <c r="H17" s="11">
        <f>ROUND(PRODUCT(G17/14),0)</f>
        <v>92</v>
      </c>
      <c r="I17" s="11">
        <f>ROUND(PRODUCT(G17/COUNT(F4:F17)),0)</f>
        <v>144</v>
      </c>
      <c r="J17" s="42"/>
      <c r="K17" s="21">
        <f t="shared" si="5"/>
        <v>2.8472222222222219</v>
      </c>
      <c r="L17" s="47">
        <f t="shared" si="0"/>
        <v>0</v>
      </c>
      <c r="M17" s="37"/>
      <c r="N17" s="42"/>
      <c r="O17" s="21">
        <f t="shared" si="6"/>
        <v>4.5555555555555554</v>
      </c>
      <c r="P17" s="47">
        <f t="shared" si="1"/>
        <v>0</v>
      </c>
      <c r="Q17" s="21">
        <f t="shared" si="2"/>
        <v>0</v>
      </c>
      <c r="R17" s="21">
        <f t="shared" si="9"/>
        <v>1.7083333333333335</v>
      </c>
      <c r="S17" s="11"/>
      <c r="T17" s="11"/>
      <c r="U17" s="18">
        <f t="shared" si="10"/>
        <v>0</v>
      </c>
      <c r="V17" s="29"/>
      <c r="W17" s="18">
        <f t="shared" si="7"/>
        <v>7013</v>
      </c>
      <c r="X17" s="11">
        <f t="shared" si="3"/>
        <v>0</v>
      </c>
      <c r="Y17" s="18">
        <f t="shared" si="11"/>
        <v>4900</v>
      </c>
      <c r="Z17" s="18">
        <f t="shared" si="4"/>
        <v>0</v>
      </c>
      <c r="AA17" s="11"/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47</v>
      </c>
      <c r="B18" s="32">
        <v>40252</v>
      </c>
      <c r="C18" s="5" t="s">
        <v>65</v>
      </c>
      <c r="D18" s="6" t="s">
        <v>66</v>
      </c>
      <c r="E18" s="4" t="s">
        <v>67</v>
      </c>
      <c r="F18" s="35">
        <v>109</v>
      </c>
      <c r="G18" s="17">
        <f t="shared" si="8"/>
        <v>1402</v>
      </c>
      <c r="H18" s="11">
        <f>ROUND(PRODUCT(G18/15),0)</f>
        <v>93</v>
      </c>
      <c r="I18" s="11">
        <f>ROUND(PRODUCT(G18/COUNT(F4:F18)),0)</f>
        <v>140</v>
      </c>
      <c r="J18" s="42">
        <v>0.26666666666666666</v>
      </c>
      <c r="K18" s="21">
        <f t="shared" si="5"/>
        <v>3.1138888888888885</v>
      </c>
      <c r="L18" s="47">
        <f t="shared" si="0"/>
        <v>17</v>
      </c>
      <c r="M18" s="37">
        <v>61.5</v>
      </c>
      <c r="N18" s="42">
        <v>0.39583333333333331</v>
      </c>
      <c r="O18" s="21">
        <f t="shared" si="6"/>
        <v>4.9513888888888884</v>
      </c>
      <c r="P18" s="47">
        <f t="shared" si="1"/>
        <v>11.5</v>
      </c>
      <c r="Q18" s="21">
        <f t="shared" si="2"/>
        <v>0.12916666666666665</v>
      </c>
      <c r="R18" s="21">
        <f t="shared" si="9"/>
        <v>1.8375000000000001</v>
      </c>
      <c r="S18" s="29">
        <v>2463</v>
      </c>
      <c r="T18" s="11">
        <v>2125</v>
      </c>
      <c r="U18" s="18">
        <f t="shared" si="10"/>
        <v>-338</v>
      </c>
      <c r="V18" s="29">
        <v>1117</v>
      </c>
      <c r="W18" s="18">
        <f t="shared" si="7"/>
        <v>8130</v>
      </c>
      <c r="X18" s="11">
        <f t="shared" si="3"/>
        <v>1455</v>
      </c>
      <c r="Y18" s="18">
        <f t="shared" si="11"/>
        <v>6355</v>
      </c>
      <c r="Z18" s="18">
        <f t="shared" si="4"/>
        <v>-338</v>
      </c>
      <c r="AA18" s="11">
        <v>2585</v>
      </c>
      <c r="AB18" s="11">
        <v>3</v>
      </c>
      <c r="AC18" s="30">
        <v>10</v>
      </c>
      <c r="AD18" s="29"/>
      <c r="AE18" s="30"/>
      <c r="AF18" s="30">
        <v>21</v>
      </c>
      <c r="AG18" s="30">
        <v>39</v>
      </c>
      <c r="AH18" s="19">
        <f t="shared" si="12"/>
        <v>18</v>
      </c>
    </row>
    <row r="19" spans="1:34" ht="13">
      <c r="A19" s="6" t="s">
        <v>48</v>
      </c>
      <c r="B19" s="32">
        <v>40253</v>
      </c>
      <c r="C19" s="5" t="s">
        <v>67</v>
      </c>
      <c r="D19" s="6" t="s">
        <v>68</v>
      </c>
      <c r="E19" s="4" t="s">
        <v>69</v>
      </c>
      <c r="F19" s="35">
        <v>117</v>
      </c>
      <c r="G19" s="17">
        <f t="shared" si="8"/>
        <v>1519</v>
      </c>
      <c r="H19" s="11">
        <f>ROUND(PRODUCT(G19/16),0)</f>
        <v>95</v>
      </c>
      <c r="I19" s="11">
        <f>ROUND(PRODUCT(G19/COUNT(F4:F19)),0)</f>
        <v>138</v>
      </c>
      <c r="J19" s="42">
        <v>0.32777777777777778</v>
      </c>
      <c r="K19" s="21">
        <f t="shared" si="5"/>
        <v>3.4416666666666664</v>
      </c>
      <c r="L19" s="47">
        <f t="shared" si="0"/>
        <v>14.9</v>
      </c>
      <c r="M19" s="37">
        <v>59</v>
      </c>
      <c r="N19" s="42">
        <v>0.45833333333333331</v>
      </c>
      <c r="O19" s="21">
        <f t="shared" si="6"/>
        <v>5.4097222222222214</v>
      </c>
      <c r="P19" s="47">
        <f t="shared" si="1"/>
        <v>10.6</v>
      </c>
      <c r="Q19" s="21">
        <f t="shared" si="2"/>
        <v>0.13055555555555554</v>
      </c>
      <c r="R19" s="21">
        <f t="shared" si="9"/>
        <v>1.9680555555555557</v>
      </c>
      <c r="S19" s="11">
        <v>2125</v>
      </c>
      <c r="T19" s="11">
        <v>2431</v>
      </c>
      <c r="U19" s="18">
        <f t="shared" si="10"/>
        <v>306</v>
      </c>
      <c r="V19" s="29">
        <v>1585</v>
      </c>
      <c r="W19" s="18">
        <f t="shared" si="7"/>
        <v>9715</v>
      </c>
      <c r="X19" s="11">
        <f t="shared" si="3"/>
        <v>1279</v>
      </c>
      <c r="Y19" s="18">
        <f t="shared" si="11"/>
        <v>7634</v>
      </c>
      <c r="Z19" s="18">
        <f t="shared" si="4"/>
        <v>306</v>
      </c>
      <c r="AA19" s="11">
        <v>2547</v>
      </c>
      <c r="AB19" s="11">
        <v>3</v>
      </c>
      <c r="AC19" s="30">
        <v>12</v>
      </c>
      <c r="AD19" s="29"/>
      <c r="AE19" s="30"/>
      <c r="AF19" s="30">
        <v>17</v>
      </c>
      <c r="AG19" s="30">
        <v>36</v>
      </c>
      <c r="AH19" s="19">
        <f t="shared" si="12"/>
        <v>19</v>
      </c>
    </row>
    <row r="20" spans="1:34" ht="13">
      <c r="A20" s="6" t="s">
        <v>49</v>
      </c>
      <c r="B20" s="32">
        <v>40254</v>
      </c>
      <c r="C20" s="5" t="s">
        <v>69</v>
      </c>
      <c r="D20" s="6" t="s">
        <v>70</v>
      </c>
      <c r="E20" s="4" t="s">
        <v>71</v>
      </c>
      <c r="F20" s="35">
        <v>42</v>
      </c>
      <c r="G20" s="17">
        <f t="shared" si="8"/>
        <v>1561</v>
      </c>
      <c r="H20" s="11">
        <f>ROUND(PRODUCT(G20/17),0)</f>
        <v>92</v>
      </c>
      <c r="I20" s="11">
        <f>ROUND(PRODUCT(G20/COUNT(F4:F20)),0)</f>
        <v>130</v>
      </c>
      <c r="J20" s="42">
        <v>0.17083333333333331</v>
      </c>
      <c r="K20" s="21">
        <f t="shared" si="5"/>
        <v>3.6124999999999998</v>
      </c>
      <c r="L20" s="47">
        <f t="shared" si="0"/>
        <v>10.199999999999999</v>
      </c>
      <c r="M20" s="37">
        <v>60.5</v>
      </c>
      <c r="N20" s="42">
        <v>0.29166666666666669</v>
      </c>
      <c r="O20" s="21">
        <f t="shared" si="6"/>
        <v>5.7013888888888884</v>
      </c>
      <c r="P20" s="47">
        <f t="shared" si="1"/>
        <v>6</v>
      </c>
      <c r="Q20" s="21">
        <f t="shared" si="2"/>
        <v>0.12083333333333338</v>
      </c>
      <c r="R20" s="21">
        <f t="shared" si="9"/>
        <v>2.088888888888889</v>
      </c>
      <c r="S20" s="11">
        <v>2431</v>
      </c>
      <c r="T20" s="11">
        <v>2513</v>
      </c>
      <c r="U20" s="18">
        <f t="shared" si="10"/>
        <v>82</v>
      </c>
      <c r="V20" s="29">
        <v>1362</v>
      </c>
      <c r="W20" s="18">
        <f t="shared" si="7"/>
        <v>11077</v>
      </c>
      <c r="X20" s="11">
        <f t="shared" si="3"/>
        <v>1280</v>
      </c>
      <c r="Y20" s="18">
        <f t="shared" si="11"/>
        <v>8914</v>
      </c>
      <c r="Z20" s="18">
        <f t="shared" si="4"/>
        <v>82</v>
      </c>
      <c r="AA20" s="11">
        <v>2513</v>
      </c>
      <c r="AB20" s="11">
        <v>6</v>
      </c>
      <c r="AC20" s="30">
        <v>13</v>
      </c>
      <c r="AD20" s="29"/>
      <c r="AE20" s="30"/>
      <c r="AF20" s="30">
        <v>17</v>
      </c>
      <c r="AG20" s="30">
        <v>42</v>
      </c>
      <c r="AH20" s="19">
        <f t="shared" si="12"/>
        <v>25</v>
      </c>
    </row>
    <row r="21" spans="1:34" ht="13">
      <c r="A21" s="6" t="s">
        <v>50</v>
      </c>
      <c r="B21" s="32">
        <v>40255</v>
      </c>
      <c r="C21" s="5" t="s">
        <v>71</v>
      </c>
      <c r="D21" s="6" t="s">
        <v>72</v>
      </c>
      <c r="E21" s="4" t="s">
        <v>73</v>
      </c>
      <c r="F21" s="35">
        <v>95</v>
      </c>
      <c r="G21" s="17">
        <f t="shared" si="8"/>
        <v>1656</v>
      </c>
      <c r="H21" s="11">
        <f>ROUND(PRODUCT(G21/18),0)</f>
        <v>92</v>
      </c>
      <c r="I21" s="11">
        <f>ROUND(PRODUCT(G21/COUNT(F4:F21)),0)</f>
        <v>127</v>
      </c>
      <c r="J21" s="42">
        <v>0.2298611111111111</v>
      </c>
      <c r="K21" s="21">
        <f t="shared" si="5"/>
        <v>3.8423611111111109</v>
      </c>
      <c r="L21" s="47">
        <f t="shared" si="0"/>
        <v>17.2</v>
      </c>
      <c r="M21" s="37">
        <v>70.5</v>
      </c>
      <c r="N21" s="42">
        <v>0.32291666666666669</v>
      </c>
      <c r="O21" s="21">
        <f t="shared" si="6"/>
        <v>6.0243055555555554</v>
      </c>
      <c r="P21" s="47">
        <f t="shared" si="1"/>
        <v>12.3</v>
      </c>
      <c r="Q21" s="21">
        <f t="shared" si="2"/>
        <v>9.3055555555555586E-2</v>
      </c>
      <c r="R21" s="21">
        <f t="shared" si="9"/>
        <v>2.1819444444444445</v>
      </c>
      <c r="S21" s="29">
        <v>2513</v>
      </c>
      <c r="T21" s="29">
        <v>2546</v>
      </c>
      <c r="U21" s="18">
        <f t="shared" si="10"/>
        <v>33</v>
      </c>
      <c r="V21" s="29">
        <v>1164</v>
      </c>
      <c r="W21" s="18">
        <f t="shared" si="7"/>
        <v>12241</v>
      </c>
      <c r="X21" s="11">
        <f t="shared" si="3"/>
        <v>1131</v>
      </c>
      <c r="Y21" s="18">
        <f t="shared" si="11"/>
        <v>10045</v>
      </c>
      <c r="Z21" s="18">
        <f t="shared" si="4"/>
        <v>33</v>
      </c>
      <c r="AA21" s="29">
        <v>3100</v>
      </c>
      <c r="AB21" s="29">
        <v>4</v>
      </c>
      <c r="AC21" s="30">
        <v>12</v>
      </c>
      <c r="AD21" s="29"/>
      <c r="AE21" s="30"/>
      <c r="AF21" s="30">
        <v>18</v>
      </c>
      <c r="AG21" s="30">
        <v>25</v>
      </c>
      <c r="AH21" s="19">
        <f t="shared" si="12"/>
        <v>7</v>
      </c>
    </row>
    <row r="22" spans="1:34" ht="13">
      <c r="A22" s="6" t="s">
        <v>51</v>
      </c>
      <c r="B22" s="32">
        <v>40256</v>
      </c>
      <c r="C22" s="5" t="s">
        <v>73</v>
      </c>
      <c r="D22" s="6"/>
      <c r="E22" s="4" t="s">
        <v>74</v>
      </c>
      <c r="F22" s="5">
        <v>104</v>
      </c>
      <c r="G22" s="17">
        <f t="shared" si="8"/>
        <v>1760</v>
      </c>
      <c r="H22" s="11">
        <f>ROUND(PRODUCT(G22/19),0)</f>
        <v>93</v>
      </c>
      <c r="I22" s="11">
        <f>ROUND(PRODUCT(G22/COUNT(F4:F22)),0)</f>
        <v>126</v>
      </c>
      <c r="J22" s="42">
        <v>0.27777777777777779</v>
      </c>
      <c r="K22" s="21">
        <f t="shared" si="5"/>
        <v>4.1201388888888886</v>
      </c>
      <c r="L22" s="47">
        <f t="shared" si="0"/>
        <v>15.6</v>
      </c>
      <c r="M22" s="37">
        <v>67.5</v>
      </c>
      <c r="N22" s="42">
        <v>0.39583333333333331</v>
      </c>
      <c r="O22" s="21">
        <f t="shared" si="6"/>
        <v>6.4201388888888884</v>
      </c>
      <c r="P22" s="47">
        <f t="shared" si="1"/>
        <v>10.9</v>
      </c>
      <c r="Q22" s="21">
        <f t="shared" si="2"/>
        <v>0.11805555555555552</v>
      </c>
      <c r="R22" s="21">
        <f t="shared" si="9"/>
        <v>2.2999999999999998</v>
      </c>
      <c r="S22" s="29">
        <v>2546</v>
      </c>
      <c r="T22" s="29">
        <v>2400</v>
      </c>
      <c r="U22" s="18">
        <f t="shared" si="10"/>
        <v>-146</v>
      </c>
      <c r="V22" s="29">
        <v>1221</v>
      </c>
      <c r="W22" s="18">
        <f t="shared" si="7"/>
        <v>13462</v>
      </c>
      <c r="X22" s="11">
        <f t="shared" si="3"/>
        <v>1367</v>
      </c>
      <c r="Y22" s="18">
        <f t="shared" si="11"/>
        <v>11412</v>
      </c>
      <c r="Z22" s="18">
        <f t="shared" si="4"/>
        <v>-146</v>
      </c>
      <c r="AA22" s="29">
        <v>2870</v>
      </c>
      <c r="AB22" s="29">
        <v>3</v>
      </c>
      <c r="AC22" s="30">
        <v>12</v>
      </c>
      <c r="AD22" s="29"/>
      <c r="AE22" s="30"/>
      <c r="AF22" s="30">
        <v>16</v>
      </c>
      <c r="AG22" s="30">
        <v>28</v>
      </c>
      <c r="AH22" s="19">
        <f t="shared" si="12"/>
        <v>12</v>
      </c>
    </row>
    <row r="23" spans="1:34" ht="13">
      <c r="A23" s="31" t="s">
        <v>6</v>
      </c>
      <c r="B23" s="56"/>
      <c r="C23" s="57"/>
      <c r="D23" s="57"/>
      <c r="E23" s="58"/>
      <c r="F23" s="33">
        <f>SUM(F4:F22)</f>
        <v>1760</v>
      </c>
      <c r="G23" s="22">
        <f>SUM(G22)</f>
        <v>1760</v>
      </c>
      <c r="H23" s="22">
        <f>SUM(H22)</f>
        <v>93</v>
      </c>
      <c r="I23" s="22">
        <f>SUM(I22)</f>
        <v>126</v>
      </c>
      <c r="J23" s="23">
        <f>SUM(J4:J22)</f>
        <v>4.1201388888888886</v>
      </c>
      <c r="K23" s="40">
        <f>F23/SUM(HOUR(J23)+(ROUNDDOWN(J23,0)*24),PRODUCT(MINUTE(J23)/60))</f>
        <v>17.798752738917916</v>
      </c>
      <c r="L23" s="46">
        <f>SUM(L4:L22)/COUNT(F4:F22)</f>
        <v>17.099999999999998</v>
      </c>
      <c r="M23" s="48">
        <f>PRODUCT(SUM(M4:M22),1/COUNT(M4:M22))</f>
        <v>54.678571428571423</v>
      </c>
      <c r="N23" s="23">
        <f>SUM(N4:N22)</f>
        <v>6.4201388888888884</v>
      </c>
      <c r="O23" s="40">
        <f>F23/SUM(HOUR(N23)+(ROUNDDOWN(N23,0)*24),PRODUCT(MINUTE(N23)/60))</f>
        <v>11.422390481341266</v>
      </c>
      <c r="P23" s="46">
        <f>SUM(P4:P22)/COUNT(F4:F22)</f>
        <v>10.814285714285715</v>
      </c>
      <c r="Q23" s="23">
        <f>SUM(Q4:Q22)</f>
        <v>2.2999999999999998</v>
      </c>
      <c r="R23" s="22"/>
      <c r="S23" s="22">
        <f>ROUND(SUM(S4:S22)/COUNT(S4:S22),0)</f>
        <v>1587</v>
      </c>
      <c r="T23" s="22">
        <f>ROUND(SUM(T4:T22)/COUNT(T4:T22),0)</f>
        <v>1734</v>
      </c>
      <c r="U23" s="24">
        <f>SUM(U4:U22)</f>
        <v>2050</v>
      </c>
      <c r="V23" s="22">
        <f>ROUND(SUM(V4:V22)/COUNT(V4:V22),0)</f>
        <v>962</v>
      </c>
      <c r="W23" s="22"/>
      <c r="X23" s="22">
        <f>ROUND(SUM(X4:X22)/COUNT(V4:V22),0)</f>
        <v>815</v>
      </c>
      <c r="Y23" s="22"/>
      <c r="Z23" s="24">
        <f>SUM(Z4:Z22)</f>
        <v>2050</v>
      </c>
      <c r="AA23" s="22">
        <f>ROUND(SUM(AA4:AA22)/COUNT(AA4:AA22),0)</f>
        <v>1873</v>
      </c>
      <c r="AB23" s="39">
        <f t="shared" ref="AB23:AG23" si="13">SUM(AB4:AB22)/COUNT(AB4:AB22)</f>
        <v>2.6428571428571428</v>
      </c>
      <c r="AC23" s="39">
        <f t="shared" si="13"/>
        <v>9.6428571428571423</v>
      </c>
      <c r="AD23" s="39" t="e">
        <f t="shared" si="13"/>
        <v>#DIV/0!</v>
      </c>
      <c r="AE23" s="39" t="e">
        <f t="shared" si="13"/>
        <v>#DIV/0!</v>
      </c>
      <c r="AF23" s="39">
        <f t="shared" si="13"/>
        <v>21.5</v>
      </c>
      <c r="AG23" s="39">
        <f t="shared" si="13"/>
        <v>38.214285714285715</v>
      </c>
      <c r="AH23" s="39">
        <f>SUM(AH4:AH22)/COUNT(AG4:AG22)</f>
        <v>16.714285714285715</v>
      </c>
    </row>
    <row r="24" spans="1:34" ht="13">
      <c r="Q24" s="11"/>
      <c r="R24" s="11"/>
      <c r="S24" s="11"/>
      <c r="W24" s="18"/>
      <c r="Y24" s="18"/>
    </row>
    <row r="25" spans="1:34" ht="13">
      <c r="O25" s="11"/>
      <c r="P25" s="11"/>
      <c r="Q25" s="11"/>
      <c r="R25" s="34"/>
      <c r="S25" s="11"/>
      <c r="T25" s="11"/>
      <c r="U25" s="11"/>
      <c r="V25" s="11"/>
      <c r="W25" s="18"/>
      <c r="X25" s="11"/>
      <c r="Y25" s="18"/>
      <c r="Z25" s="11"/>
      <c r="AA25" s="11"/>
    </row>
    <row r="26" spans="1:34" ht="13">
      <c r="N26" s="44"/>
      <c r="O26" s="11"/>
      <c r="P26" s="11"/>
      <c r="Q26" s="43"/>
      <c r="R26" s="43"/>
      <c r="S26" s="11"/>
      <c r="T26" s="11"/>
      <c r="U26" s="11"/>
      <c r="V26" s="11"/>
      <c r="W26" s="11"/>
      <c r="X26" s="11"/>
      <c r="Y26" s="11"/>
      <c r="Z26" s="11"/>
      <c r="AA26" s="11"/>
    </row>
    <row r="27" spans="1:34" ht="13">
      <c r="O27" s="11"/>
      <c r="P27" s="11"/>
      <c r="Q27" s="43"/>
      <c r="R27" s="43"/>
      <c r="S27" s="11"/>
      <c r="T27" s="11"/>
      <c r="U27" s="11"/>
      <c r="V27" s="11"/>
      <c r="W27" s="11"/>
      <c r="X27" s="11"/>
      <c r="Y27" s="11"/>
      <c r="Z27" s="11"/>
      <c r="AA27" s="11"/>
    </row>
    <row r="28" spans="1:34" ht="13">
      <c r="O28" s="11"/>
      <c r="P28" s="11"/>
      <c r="Q28" s="11"/>
      <c r="R28" s="43"/>
      <c r="S28" s="11"/>
      <c r="T28" s="11"/>
      <c r="U28" s="11"/>
      <c r="V28" s="11"/>
      <c r="W28" s="11"/>
      <c r="X28" s="11"/>
      <c r="Y28" s="11"/>
      <c r="Z28" s="11"/>
      <c r="AA28" s="11"/>
    </row>
    <row r="29" spans="1:34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</sheetData>
  <mergeCells count="4">
    <mergeCell ref="A1:F1"/>
    <mergeCell ref="A2:F2"/>
    <mergeCell ref="G1:AH1"/>
    <mergeCell ref="B23:E2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AD5B-FF99-4B08-850A-600239C9108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B557-A11A-4A55-81B1-5722FECC6A7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2025-11-12T20:10:46Z</dcterms:modified>
</cp:coreProperties>
</file>