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80508C95-3AD1-4088-B81E-9FD432B4C2A6}" xr6:coauthVersionLast="47" xr6:coauthVersionMax="47" xr10:uidLastSave="{00000000-0000-0000-0000-000000000000}"/>
  <bookViews>
    <workbookView xWindow="-110" yWindow="-110" windowWidth="19420" windowHeight="10420" xr2:uid="{7C2CD871-D063-44BA-A620-E456A5A16203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O4" i="1"/>
  <c r="P4" i="1"/>
  <c r="P21" i="1" s="1"/>
  <c r="Q4" i="1"/>
  <c r="R4" i="1" s="1"/>
  <c r="R5" i="1" s="1"/>
  <c r="R6" i="1" s="1"/>
  <c r="U4" i="1"/>
  <c r="W4" i="1"/>
  <c r="X4" i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Z4" i="1"/>
  <c r="AH4" i="1"/>
  <c r="AH21" i="1" s="1"/>
  <c r="G5" i="1"/>
  <c r="H5" i="1" s="1"/>
  <c r="K5" i="1"/>
  <c r="L5" i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P5" i="1"/>
  <c r="Q5" i="1"/>
  <c r="U5" i="1"/>
  <c r="W5" i="1"/>
  <c r="X5" i="1"/>
  <c r="Z5" i="1"/>
  <c r="AH5" i="1"/>
  <c r="K6" i="1"/>
  <c r="L6" i="1"/>
  <c r="P6" i="1"/>
  <c r="Q6" i="1"/>
  <c r="U6" i="1"/>
  <c r="U21" i="1" s="1"/>
  <c r="W6" i="1"/>
  <c r="X6" i="1"/>
  <c r="Z6" i="1"/>
  <c r="AH6" i="1"/>
  <c r="K7" i="1"/>
  <c r="L7" i="1"/>
  <c r="P7" i="1"/>
  <c r="Q7" i="1"/>
  <c r="R7" i="1" s="1"/>
  <c r="R8" i="1" s="1"/>
  <c r="U7" i="1"/>
  <c r="W7" i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X7" i="1"/>
  <c r="Z7" i="1"/>
  <c r="AH7" i="1"/>
  <c r="K8" i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L8" i="1"/>
  <c r="P8" i="1"/>
  <c r="Q8" i="1"/>
  <c r="U8" i="1"/>
  <c r="X8" i="1"/>
  <c r="X21" i="1" s="1"/>
  <c r="AH8" i="1"/>
  <c r="L9" i="1"/>
  <c r="L21" i="1" s="1"/>
  <c r="P9" i="1"/>
  <c r="Q9" i="1"/>
  <c r="U9" i="1"/>
  <c r="X9" i="1"/>
  <c r="Z9" i="1" s="1"/>
  <c r="AH9" i="1"/>
  <c r="L10" i="1"/>
  <c r="P10" i="1"/>
  <c r="Q10" i="1"/>
  <c r="U10" i="1"/>
  <c r="X10" i="1"/>
  <c r="Z10" i="1"/>
  <c r="AH10" i="1"/>
  <c r="L11" i="1"/>
  <c r="P11" i="1"/>
  <c r="Q11" i="1"/>
  <c r="U11" i="1"/>
  <c r="X11" i="1"/>
  <c r="Z11" i="1"/>
  <c r="AH11" i="1"/>
  <c r="L12" i="1"/>
  <c r="P12" i="1"/>
  <c r="Q12" i="1"/>
  <c r="U12" i="1"/>
  <c r="X12" i="1"/>
  <c r="Z12" i="1"/>
  <c r="AH12" i="1"/>
  <c r="L13" i="1"/>
  <c r="P13" i="1"/>
  <c r="Q13" i="1"/>
  <c r="U13" i="1"/>
  <c r="X13" i="1"/>
  <c r="Z13" i="1"/>
  <c r="AH13" i="1"/>
  <c r="L14" i="1"/>
  <c r="P14" i="1"/>
  <c r="Q14" i="1"/>
  <c r="U14" i="1"/>
  <c r="X14" i="1"/>
  <c r="Z14" i="1"/>
  <c r="AH14" i="1"/>
  <c r="L15" i="1"/>
  <c r="P15" i="1"/>
  <c r="Q15" i="1"/>
  <c r="U15" i="1"/>
  <c r="X15" i="1"/>
  <c r="Z15" i="1"/>
  <c r="AH15" i="1"/>
  <c r="L16" i="1"/>
  <c r="P16" i="1"/>
  <c r="Q16" i="1"/>
  <c r="U16" i="1"/>
  <c r="X16" i="1"/>
  <c r="Z16" i="1" s="1"/>
  <c r="AH16" i="1"/>
  <c r="L17" i="1"/>
  <c r="P17" i="1"/>
  <c r="Q17" i="1"/>
  <c r="U17" i="1"/>
  <c r="X17" i="1"/>
  <c r="Z17" i="1" s="1"/>
  <c r="AH17" i="1"/>
  <c r="L18" i="1"/>
  <c r="P18" i="1"/>
  <c r="Q18" i="1"/>
  <c r="U18" i="1"/>
  <c r="X18" i="1"/>
  <c r="Z18" i="1"/>
  <c r="AH18" i="1"/>
  <c r="L19" i="1"/>
  <c r="P19" i="1"/>
  <c r="Q19" i="1"/>
  <c r="U19" i="1"/>
  <c r="X19" i="1"/>
  <c r="Z19" i="1"/>
  <c r="AH19" i="1"/>
  <c r="L20" i="1"/>
  <c r="P20" i="1"/>
  <c r="Q20" i="1"/>
  <c r="U20" i="1"/>
  <c r="X20" i="1"/>
  <c r="Z20" i="1"/>
  <c r="AH20" i="1"/>
  <c r="F21" i="1"/>
  <c r="O21" i="1" s="1"/>
  <c r="J21" i="1"/>
  <c r="M21" i="1"/>
  <c r="N21" i="1"/>
  <c r="S21" i="1"/>
  <c r="T21" i="1"/>
  <c r="V21" i="1"/>
  <c r="AA21" i="1"/>
  <c r="AB21" i="1"/>
  <c r="AC21" i="1"/>
  <c r="AD21" i="1"/>
  <c r="AE21" i="1"/>
  <c r="AF21" i="1"/>
  <c r="AG21" i="1"/>
  <c r="R9" i="1" l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Z21" i="1"/>
  <c r="G6" i="1"/>
  <c r="K21" i="1"/>
  <c r="Q21" i="1"/>
  <c r="I4" i="1"/>
  <c r="Z8" i="1"/>
  <c r="I5" i="1"/>
  <c r="I6" i="1" l="1"/>
  <c r="H6" i="1"/>
  <c r="G7" i="1"/>
  <c r="H7" i="1" l="1"/>
  <c r="I7" i="1"/>
  <c r="G8" i="1"/>
  <c r="G9" i="1" l="1"/>
  <c r="I8" i="1"/>
  <c r="H8" i="1"/>
  <c r="G10" i="1" l="1"/>
  <c r="H9" i="1"/>
  <c r="I9" i="1"/>
  <c r="I10" i="1" l="1"/>
  <c r="G11" i="1"/>
  <c r="H10" i="1"/>
  <c r="G12" i="1" l="1"/>
  <c r="H11" i="1"/>
  <c r="I11" i="1"/>
  <c r="G13" i="1" l="1"/>
  <c r="H12" i="1"/>
  <c r="I12" i="1"/>
  <c r="H13" i="1" l="1"/>
  <c r="G14" i="1"/>
  <c r="I13" i="1"/>
  <c r="I14" i="1" l="1"/>
  <c r="H14" i="1"/>
  <c r="G15" i="1"/>
  <c r="I15" i="1" l="1"/>
  <c r="H15" i="1"/>
  <c r="G16" i="1"/>
  <c r="I16" i="1" l="1"/>
  <c r="G17" i="1"/>
  <c r="H16" i="1"/>
  <c r="H17" i="1" l="1"/>
  <c r="G18" i="1"/>
  <c r="I17" i="1"/>
  <c r="I18" i="1" l="1"/>
  <c r="G19" i="1"/>
  <c r="H18" i="1"/>
  <c r="G20" i="1" l="1"/>
  <c r="H19" i="1"/>
  <c r="I19" i="1"/>
  <c r="G21" i="1" l="1"/>
  <c r="H20" i="1"/>
  <c r="H21" i="1" s="1"/>
  <c r="I20" i="1"/>
  <c r="I21" i="1" s="1"/>
</calcChain>
</file>

<file path=xl/sharedStrings.xml><?xml version="1.0" encoding="utf-8"?>
<sst xmlns="http://schemas.openxmlformats.org/spreadsheetml/2006/main" count="99" uniqueCount="82">
  <si>
    <t>Tag</t>
  </si>
  <si>
    <t>Datum</t>
  </si>
  <si>
    <t>Start</t>
  </si>
  <si>
    <t>Zwischenstationen</t>
  </si>
  <si>
    <t>Ziel</t>
  </si>
  <si>
    <t>10.</t>
  </si>
  <si>
    <t>Summe</t>
  </si>
  <si>
    <t>11.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</si>
  <si>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</si>
  <si>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</si>
  <si>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</si>
  <si>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</si>
  <si>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</si>
  <si>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</si>
  <si>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</si>
  <si>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</si>
  <si>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</si>
  <si>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</si>
  <si>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</si>
  <si>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</si>
  <si>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</si>
  <si>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</si>
  <si>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</si>
  <si>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</si>
  <si>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</si>
  <si>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</si>
  <si>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</si>
  <si>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</si>
  <si>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</si>
  <si>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</si>
  <si>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</si>
  <si>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</si>
  <si>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</si>
  <si>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</si>
  <si>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</si>
  <si>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12.</t>
  </si>
  <si>
    <t>13.</t>
  </si>
  <si>
    <t>14.</t>
  </si>
  <si>
    <t>15.</t>
  </si>
  <si>
    <t>16.</t>
  </si>
  <si>
    <t>17.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</si>
  <si>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</si>
  <si>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</si>
  <si>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</si>
  <si>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</si>
  <si>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</si>
  <si>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</si>
  <si>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</si>
  <si>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</si>
  <si>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</si>
  <si>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</si>
  <si>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</si>
  <si>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Kanarische Inseln (15.-31.12.2012)</t>
  </si>
  <si>
    <r>
      <t xml:space="preserve">Statistik </t>
    </r>
    <r>
      <rPr>
        <b/>
        <sz val="20"/>
        <rFont val="Arial"/>
        <family val="2"/>
      </rPr>
      <t>Kanarische Inseln (15.-31.12.2012)</t>
    </r>
  </si>
  <si>
    <t>Aeropuerto de Lanzarote</t>
  </si>
  <si>
    <t>Arrecife</t>
  </si>
  <si>
    <t>Costa Teguise</t>
  </si>
  <si>
    <t>Orzola</t>
  </si>
  <si>
    <t>Teguise - Timanfaya</t>
  </si>
  <si>
    <t>Playa Blanca</t>
  </si>
  <si>
    <t>Fähre nach Fuerteventura - Corralejo - Puerto del Rosario</t>
  </si>
  <si>
    <t>Antigua</t>
  </si>
  <si>
    <t>Betancuria</t>
  </si>
  <si>
    <t>Costa Calma</t>
  </si>
  <si>
    <t>Morro Jable - Fähre nach Gran Canaria</t>
  </si>
  <si>
    <t>Las Palmas</t>
  </si>
  <si>
    <t>Arucas - Teror - Cruz de Tejeda (1490 m)</t>
  </si>
  <si>
    <t>Tejeda</t>
  </si>
  <si>
    <t>Maspalomas</t>
  </si>
  <si>
    <t>Morgan</t>
  </si>
  <si>
    <t>La Aldea de San Nicolas</t>
  </si>
  <si>
    <t>Embalse de Chira - San Bartolomé</t>
  </si>
  <si>
    <t>Aldea de San Nicolas</t>
  </si>
  <si>
    <t>Santa Cruz de Tenerife</t>
  </si>
  <si>
    <t>La Laguna - Tejina</t>
  </si>
  <si>
    <t>Puerto de la Cruz</t>
  </si>
  <si>
    <t>Teide Seilbahn (2300 m)</t>
  </si>
  <si>
    <t>Puerto de Erjos (1117 m)</t>
  </si>
  <si>
    <t>Playa de San Juan</t>
  </si>
  <si>
    <t>Los Cristianos</t>
  </si>
  <si>
    <t>Agaete - Fähre nach Teneriffa</t>
  </si>
  <si>
    <t>Aeropuerto de Tenerife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</si>
</sst>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180" fontId="8" fillId="0" borderId="0" xfId="0" applyNumberFormat="1" applyFont="1" applyBorder="1"/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180" fontId="1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0" fillId="0" borderId="9" xfId="0" applyBorder="1" applyAlignment="1"/>
    <xf numFmtId="0" fontId="9" fillId="0" borderId="8" xfId="0" applyFont="1" applyBorder="1" applyAlignment="1"/>
    <xf numFmtId="0" fontId="3" fillId="0" borderId="9" xfId="0" applyFont="1" applyBorder="1" applyAlignment="1"/>
    <xf numFmtId="0" fontId="3" fillId="0" borderId="7" xfId="0" applyFont="1" applyBorder="1" applyAlignment="1"/>
    <xf numFmtId="14" fontId="4" fillId="0" borderId="8" xfId="0" applyNumberFormat="1" applyFont="1" applyBorder="1" applyAlignment="1">
      <alignment horizontal="center" vertical="top" wrapText="1"/>
    </xf>
    <xf numFmtId="0" fontId="0" fillId="0" borderId="9" xfId="0" applyBorder="1" applyAlignment="1">
      <alignment wrapText="1"/>
    </xf>
    <xf numFmtId="0" fontId="0" fillId="0" borderId="7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C73A6-F014-40A5-BF93-C1ADB840BBAF}">
  <sheetPr codeName="Tabelle1"/>
  <dimension ref="A1:AH27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50" t="s">
        <v>52</v>
      </c>
      <c r="B1" s="51"/>
      <c r="C1" s="51"/>
      <c r="D1" s="51"/>
      <c r="E1" s="51"/>
      <c r="F1" s="52"/>
      <c r="G1" s="54" t="s">
        <v>53</v>
      </c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6"/>
    </row>
    <row r="2" spans="1:34">
      <c r="A2" s="53"/>
      <c r="B2" s="53"/>
      <c r="C2" s="53"/>
      <c r="D2" s="53"/>
      <c r="E2" s="53"/>
      <c r="F2" s="53"/>
      <c r="G2" s="6"/>
      <c r="H2" s="7"/>
      <c r="I2" s="7"/>
      <c r="J2" s="7"/>
      <c r="K2" s="7"/>
      <c r="L2" s="7"/>
      <c r="M2" s="7"/>
      <c r="N2" s="6"/>
      <c r="O2" s="6"/>
      <c r="P2" s="6"/>
      <c r="Q2" s="6"/>
      <c r="R2" s="11"/>
      <c r="S2" s="6"/>
      <c r="T2" s="6"/>
      <c r="U2" s="8"/>
      <c r="V2" s="8"/>
      <c r="W2" s="8"/>
      <c r="X2" s="9"/>
      <c r="Y2" s="8"/>
      <c r="Z2" s="10"/>
      <c r="AA2" s="10"/>
      <c r="AB2" s="10"/>
      <c r="AC2" s="10"/>
      <c r="AD2" s="10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22</v>
      </c>
      <c r="G3" s="24" t="s">
        <v>26</v>
      </c>
      <c r="H3" s="24" t="s">
        <v>23</v>
      </c>
      <c r="I3" s="24" t="s">
        <v>24</v>
      </c>
      <c r="J3" s="24" t="s">
        <v>8</v>
      </c>
      <c r="K3" s="25" t="s">
        <v>32</v>
      </c>
      <c r="L3" s="24" t="s">
        <v>42</v>
      </c>
      <c r="M3" s="24" t="s">
        <v>25</v>
      </c>
      <c r="N3" s="24" t="s">
        <v>14</v>
      </c>
      <c r="O3" s="25" t="s">
        <v>33</v>
      </c>
      <c r="P3" s="24" t="s">
        <v>41</v>
      </c>
      <c r="Q3" s="24" t="s">
        <v>15</v>
      </c>
      <c r="R3" s="25" t="s">
        <v>34</v>
      </c>
      <c r="S3" s="24" t="s">
        <v>9</v>
      </c>
      <c r="T3" s="24" t="s">
        <v>10</v>
      </c>
      <c r="U3" s="24" t="s">
        <v>31</v>
      </c>
      <c r="V3" s="24" t="s">
        <v>12</v>
      </c>
      <c r="W3" s="25" t="s">
        <v>27</v>
      </c>
      <c r="X3" s="24" t="s">
        <v>13</v>
      </c>
      <c r="Y3" s="25" t="s">
        <v>29</v>
      </c>
      <c r="Z3" s="25" t="s">
        <v>30</v>
      </c>
      <c r="AA3" s="24" t="s">
        <v>11</v>
      </c>
      <c r="AB3" s="26" t="s">
        <v>18</v>
      </c>
      <c r="AC3" s="26" t="s">
        <v>19</v>
      </c>
      <c r="AD3" s="26" t="s">
        <v>20</v>
      </c>
      <c r="AE3" s="26" t="s">
        <v>21</v>
      </c>
      <c r="AF3" s="27" t="s">
        <v>17</v>
      </c>
      <c r="AG3" s="27" t="s">
        <v>16</v>
      </c>
      <c r="AH3" s="27" t="s">
        <v>28</v>
      </c>
    </row>
    <row r="4" spans="1:34" ht="13">
      <c r="A4" s="45" t="s">
        <v>43</v>
      </c>
      <c r="B4" s="48">
        <v>41258</v>
      </c>
      <c r="C4" s="5" t="s">
        <v>54</v>
      </c>
      <c r="D4" s="47" t="s">
        <v>55</v>
      </c>
      <c r="E4" s="4" t="s">
        <v>56</v>
      </c>
      <c r="F4" s="5">
        <v>18</v>
      </c>
      <c r="G4" s="12">
        <f>SUM(F4)</f>
        <v>18</v>
      </c>
      <c r="H4" s="13">
        <f>ROUND(PRODUCT(G4/1),0)</f>
        <v>18</v>
      </c>
      <c r="I4" s="13">
        <f>ROUND(PRODUCT(G4/COUNT(F4:F4)),0)</f>
        <v>18</v>
      </c>
      <c r="J4" s="38">
        <v>6.25E-2</v>
      </c>
      <c r="K4" s="19">
        <f>SUM(J4)</f>
        <v>6.25E-2</v>
      </c>
      <c r="L4" s="43">
        <f t="shared" ref="L4:L20" si="0">IF(F4=0,0,ROUND(PRODUCT(F4/SUM(HOUR(J4),PRODUCT(MINUTE(J4)/60))),1))</f>
        <v>12</v>
      </c>
      <c r="M4" s="33">
        <v>25</v>
      </c>
      <c r="N4" s="38">
        <v>8.3333333333333329E-2</v>
      </c>
      <c r="O4" s="19">
        <f>SUM(N4)</f>
        <v>8.3333333333333329E-2</v>
      </c>
      <c r="P4" s="43">
        <f t="shared" ref="P4:P20" si="1">IF(F4=0,0,ROUND(PRODUCT(F4/SUM(HOUR(N4),PRODUCT(MINUTE(N4)/60))),1))</f>
        <v>9</v>
      </c>
      <c r="Q4" s="19">
        <f t="shared" ref="Q4:Q20" si="2">SUM(N4,-J4)</f>
        <v>2.0833333333333329E-2</v>
      </c>
      <c r="R4" s="19">
        <f>SUM(Q4)</f>
        <v>2.0833333333333329E-2</v>
      </c>
      <c r="S4" s="13">
        <v>5</v>
      </c>
      <c r="T4" s="10">
        <v>10</v>
      </c>
      <c r="U4" s="14">
        <f>SUM(-S4,T4)</f>
        <v>5</v>
      </c>
      <c r="V4" s="13">
        <v>50</v>
      </c>
      <c r="W4" s="14">
        <f>SUM(V4)</f>
        <v>50</v>
      </c>
      <c r="X4" s="13">
        <f t="shared" ref="X4:X20" si="3">SUM(S4,-T4,V4)</f>
        <v>45</v>
      </c>
      <c r="Y4" s="14">
        <f>SUM(X4)</f>
        <v>45</v>
      </c>
      <c r="Z4" s="14">
        <f t="shared" ref="Z4:Z20" si="4">SUM(V4,-X4)</f>
        <v>5</v>
      </c>
      <c r="AA4" s="13">
        <v>20</v>
      </c>
      <c r="AB4" s="13"/>
      <c r="AC4" s="13"/>
      <c r="AD4" s="13"/>
      <c r="AE4" s="13"/>
      <c r="AF4" s="13"/>
      <c r="AG4" s="13"/>
      <c r="AH4" s="15">
        <f>SUM(AG4,-AF4)</f>
        <v>0</v>
      </c>
    </row>
    <row r="5" spans="1:34" ht="13">
      <c r="A5" s="45" t="s">
        <v>44</v>
      </c>
      <c r="B5" s="48">
        <v>41259</v>
      </c>
      <c r="C5" s="5"/>
      <c r="D5" s="47" t="s">
        <v>56</v>
      </c>
      <c r="E5" s="4"/>
      <c r="F5" s="5"/>
      <c r="G5" s="16">
        <f>SUM(G4,F5)</f>
        <v>18</v>
      </c>
      <c r="H5" s="10">
        <f>ROUND(PRODUCT(G5/2),0)</f>
        <v>9</v>
      </c>
      <c r="I5" s="10">
        <f>ROUND(PRODUCT(G5/COUNT(F4:F5)),0)</f>
        <v>18</v>
      </c>
      <c r="J5" s="39"/>
      <c r="K5" s="20">
        <f t="shared" ref="K5:K20" si="5">SUM(J5,K4)</f>
        <v>6.25E-2</v>
      </c>
      <c r="L5" s="43">
        <f t="shared" si="0"/>
        <v>0</v>
      </c>
      <c r="M5" s="34"/>
      <c r="N5" s="39"/>
      <c r="O5" s="20">
        <f t="shared" ref="O5:O20" si="6">SUM(N5,O4)</f>
        <v>8.3333333333333329E-2</v>
      </c>
      <c r="P5" s="43">
        <f t="shared" si="1"/>
        <v>0</v>
      </c>
      <c r="Q5" s="20">
        <f t="shared" si="2"/>
        <v>0</v>
      </c>
      <c r="R5" s="20">
        <f>SUM(Q5,R4)</f>
        <v>2.0833333333333329E-2</v>
      </c>
      <c r="S5" s="10"/>
      <c r="T5" s="10"/>
      <c r="U5" s="17">
        <f>SUM(-S5,T5)</f>
        <v>0</v>
      </c>
      <c r="V5" s="28"/>
      <c r="W5" s="17">
        <f t="shared" ref="W5:W20" si="7">SUM(W4,V5)</f>
        <v>50</v>
      </c>
      <c r="X5" s="10">
        <f t="shared" si="3"/>
        <v>0</v>
      </c>
      <c r="Y5" s="17">
        <f>SUM(Y4,X5)</f>
        <v>45</v>
      </c>
      <c r="Z5" s="17">
        <f t="shared" si="4"/>
        <v>0</v>
      </c>
      <c r="AA5" s="10"/>
      <c r="AB5" s="10"/>
      <c r="AC5" s="29"/>
      <c r="AD5" s="28"/>
      <c r="AE5" s="29"/>
      <c r="AF5" s="29"/>
      <c r="AG5" s="29"/>
      <c r="AH5" s="18">
        <f>SUM(AG5,-AF5)</f>
        <v>0</v>
      </c>
    </row>
    <row r="6" spans="1:34" ht="13">
      <c r="A6" s="45" t="s">
        <v>45</v>
      </c>
      <c r="B6" s="48">
        <v>41260</v>
      </c>
      <c r="C6" s="5" t="s">
        <v>56</v>
      </c>
      <c r="D6" s="47" t="s">
        <v>57</v>
      </c>
      <c r="E6" s="4" t="s">
        <v>56</v>
      </c>
      <c r="F6" s="5">
        <v>66</v>
      </c>
      <c r="G6" s="16">
        <f t="shared" ref="G6:G20" si="8">SUM(G5,F6)</f>
        <v>84</v>
      </c>
      <c r="H6" s="10">
        <f>ROUND(PRODUCT(G6/3),0)</f>
        <v>28</v>
      </c>
      <c r="I6" s="10">
        <f>ROUND(PRODUCT(G6/COUNT(F4:F6)),0)</f>
        <v>42</v>
      </c>
      <c r="J6" s="39">
        <v>0.16805555555555554</v>
      </c>
      <c r="K6" s="20">
        <f t="shared" si="5"/>
        <v>0.23055555555555554</v>
      </c>
      <c r="L6" s="43">
        <f t="shared" si="0"/>
        <v>16.399999999999999</v>
      </c>
      <c r="M6" s="34">
        <v>55</v>
      </c>
      <c r="N6" s="39">
        <v>0.26180555555555557</v>
      </c>
      <c r="O6" s="20">
        <f t="shared" si="6"/>
        <v>0.34513888888888888</v>
      </c>
      <c r="P6" s="43">
        <f t="shared" si="1"/>
        <v>10.5</v>
      </c>
      <c r="Q6" s="20">
        <f t="shared" si="2"/>
        <v>9.3750000000000028E-2</v>
      </c>
      <c r="R6" s="20">
        <f t="shared" ref="R6:R20" si="9">SUM(Q6,R5)</f>
        <v>0.11458333333333336</v>
      </c>
      <c r="S6" s="10">
        <v>10</v>
      </c>
      <c r="T6" s="28">
        <v>10</v>
      </c>
      <c r="U6" s="17">
        <f t="shared" ref="U6:U20" si="10">SUM(-S6,T6)</f>
        <v>0</v>
      </c>
      <c r="V6" s="28">
        <v>580</v>
      </c>
      <c r="W6" s="17">
        <f t="shared" si="7"/>
        <v>630</v>
      </c>
      <c r="X6" s="10">
        <f t="shared" si="3"/>
        <v>580</v>
      </c>
      <c r="Y6" s="17">
        <f t="shared" ref="Y6:Y20" si="11">SUM(Y5,X6)</f>
        <v>625</v>
      </c>
      <c r="Z6" s="17">
        <f t="shared" si="4"/>
        <v>0</v>
      </c>
      <c r="AA6" s="10">
        <v>288</v>
      </c>
      <c r="AB6" s="10"/>
      <c r="AC6" s="29"/>
      <c r="AD6" s="28"/>
      <c r="AE6" s="29"/>
      <c r="AF6" s="29">
        <v>20</v>
      </c>
      <c r="AG6" s="29">
        <v>25</v>
      </c>
      <c r="AH6" s="18">
        <f t="shared" ref="AH6:AH20" si="12">SUM(AG6,-AF6)</f>
        <v>5</v>
      </c>
    </row>
    <row r="7" spans="1:34" ht="13">
      <c r="A7" s="45" t="s">
        <v>46</v>
      </c>
      <c r="B7" s="48">
        <v>41261</v>
      </c>
      <c r="C7" s="5" t="s">
        <v>56</v>
      </c>
      <c r="D7" s="47" t="s">
        <v>58</v>
      </c>
      <c r="E7" s="4" t="s">
        <v>59</v>
      </c>
      <c r="F7" s="5">
        <v>66</v>
      </c>
      <c r="G7" s="16">
        <f t="shared" si="8"/>
        <v>150</v>
      </c>
      <c r="H7" s="10">
        <f>ROUND(PRODUCT(G7/4),0)</f>
        <v>38</v>
      </c>
      <c r="I7" s="10">
        <f>ROUND(PRODUCT(G7/COUNT(F4:F7)),0)</f>
        <v>50</v>
      </c>
      <c r="J7" s="39">
        <v>0.18402777777777779</v>
      </c>
      <c r="K7" s="20">
        <f t="shared" si="5"/>
        <v>0.4145833333333333</v>
      </c>
      <c r="L7" s="43">
        <f t="shared" si="0"/>
        <v>14.9</v>
      </c>
      <c r="M7" s="35">
        <v>54</v>
      </c>
      <c r="N7" s="39">
        <v>0.39583333333333331</v>
      </c>
      <c r="O7" s="20">
        <f t="shared" si="6"/>
        <v>0.74097222222222214</v>
      </c>
      <c r="P7" s="43">
        <f t="shared" si="1"/>
        <v>6.9</v>
      </c>
      <c r="Q7" s="20">
        <f t="shared" si="2"/>
        <v>0.21180555555555552</v>
      </c>
      <c r="R7" s="20">
        <f t="shared" si="9"/>
        <v>0.3263888888888889</v>
      </c>
      <c r="S7" s="28">
        <v>10</v>
      </c>
      <c r="T7" s="28">
        <v>100</v>
      </c>
      <c r="U7" s="17">
        <f t="shared" si="10"/>
        <v>90</v>
      </c>
      <c r="V7" s="28">
        <v>698</v>
      </c>
      <c r="W7" s="17">
        <f t="shared" si="7"/>
        <v>1328</v>
      </c>
      <c r="X7" s="10">
        <f t="shared" si="3"/>
        <v>608</v>
      </c>
      <c r="Y7" s="17">
        <f t="shared" si="11"/>
        <v>1233</v>
      </c>
      <c r="Z7" s="17">
        <f t="shared" si="4"/>
        <v>90</v>
      </c>
      <c r="AA7" s="28">
        <v>375</v>
      </c>
      <c r="AB7" s="28"/>
      <c r="AC7" s="29"/>
      <c r="AD7" s="28"/>
      <c r="AE7" s="29"/>
      <c r="AF7" s="29">
        <v>21</v>
      </c>
      <c r="AG7" s="29">
        <v>26</v>
      </c>
      <c r="AH7" s="18">
        <f t="shared" si="12"/>
        <v>5</v>
      </c>
    </row>
    <row r="8" spans="1:34" ht="13">
      <c r="A8" s="45" t="s">
        <v>47</v>
      </c>
      <c r="B8" s="48">
        <v>41262</v>
      </c>
      <c r="C8" s="5" t="s">
        <v>59</v>
      </c>
      <c r="D8" s="47" t="s">
        <v>60</v>
      </c>
      <c r="E8" s="4" t="s">
        <v>61</v>
      </c>
      <c r="F8" s="5">
        <v>60</v>
      </c>
      <c r="G8" s="16">
        <f t="shared" si="8"/>
        <v>210</v>
      </c>
      <c r="H8" s="10">
        <f>ROUND(PRODUCT(G8/5),0)</f>
        <v>42</v>
      </c>
      <c r="I8" s="10">
        <f>ROUND(PRODUCT(G8/COUNT(F4:F8)),0)</f>
        <v>53</v>
      </c>
      <c r="J8" s="39">
        <v>0.1875</v>
      </c>
      <c r="K8" s="20">
        <f t="shared" si="5"/>
        <v>0.6020833333333333</v>
      </c>
      <c r="L8" s="43">
        <f t="shared" si="0"/>
        <v>13.3</v>
      </c>
      <c r="M8" s="35">
        <v>46</v>
      </c>
      <c r="N8" s="39">
        <v>0.35416666666666669</v>
      </c>
      <c r="O8" s="20">
        <f t="shared" si="6"/>
        <v>1.0951388888888889</v>
      </c>
      <c r="P8" s="43">
        <f t="shared" si="1"/>
        <v>7.1</v>
      </c>
      <c r="Q8" s="20">
        <f t="shared" si="2"/>
        <v>0.16666666666666669</v>
      </c>
      <c r="R8" s="20">
        <f t="shared" si="9"/>
        <v>0.49305555555555558</v>
      </c>
      <c r="S8" s="28">
        <v>100</v>
      </c>
      <c r="T8" s="28">
        <v>190</v>
      </c>
      <c r="U8" s="17">
        <f t="shared" si="10"/>
        <v>90</v>
      </c>
      <c r="V8" s="28">
        <v>537</v>
      </c>
      <c r="W8" s="17">
        <f t="shared" si="7"/>
        <v>1865</v>
      </c>
      <c r="X8" s="10">
        <f t="shared" si="3"/>
        <v>447</v>
      </c>
      <c r="Y8" s="17">
        <f t="shared" si="11"/>
        <v>1680</v>
      </c>
      <c r="Z8" s="17">
        <f t="shared" si="4"/>
        <v>90</v>
      </c>
      <c r="AA8" s="28">
        <v>290</v>
      </c>
      <c r="AB8" s="28"/>
      <c r="AC8" s="29"/>
      <c r="AD8" s="28"/>
      <c r="AE8" s="29"/>
      <c r="AF8" s="29">
        <v>15</v>
      </c>
      <c r="AG8" s="29">
        <v>25</v>
      </c>
      <c r="AH8" s="18">
        <f t="shared" si="12"/>
        <v>10</v>
      </c>
    </row>
    <row r="9" spans="1:34" ht="13">
      <c r="A9" s="45" t="s">
        <v>48</v>
      </c>
      <c r="B9" s="48">
        <v>41263</v>
      </c>
      <c r="C9" s="5" t="s">
        <v>61</v>
      </c>
      <c r="D9" s="47" t="s">
        <v>62</v>
      </c>
      <c r="E9" s="4" t="s">
        <v>63</v>
      </c>
      <c r="F9" s="5">
        <v>63</v>
      </c>
      <c r="G9" s="16">
        <f t="shared" si="8"/>
        <v>273</v>
      </c>
      <c r="H9" s="10">
        <f>ROUND(PRODUCT(G9/6),0)</f>
        <v>46</v>
      </c>
      <c r="I9" s="10">
        <f>ROUND(PRODUCT(G9/COUNT(F4:F9)),0)</f>
        <v>55</v>
      </c>
      <c r="J9" s="39">
        <v>0.17708333333333334</v>
      </c>
      <c r="K9" s="20">
        <f t="shared" si="5"/>
        <v>0.77916666666666667</v>
      </c>
      <c r="L9" s="43">
        <f t="shared" si="0"/>
        <v>14.8</v>
      </c>
      <c r="M9" s="35">
        <v>54</v>
      </c>
      <c r="N9" s="39">
        <v>0.34722222222222227</v>
      </c>
      <c r="O9" s="20">
        <f t="shared" si="6"/>
        <v>1.4423611111111112</v>
      </c>
      <c r="P9" s="43">
        <f t="shared" si="1"/>
        <v>7.6</v>
      </c>
      <c r="Q9" s="20">
        <f t="shared" si="2"/>
        <v>0.17013888888888892</v>
      </c>
      <c r="R9" s="20">
        <f t="shared" si="9"/>
        <v>0.66319444444444453</v>
      </c>
      <c r="S9" s="28">
        <v>190</v>
      </c>
      <c r="T9" s="28">
        <v>10</v>
      </c>
      <c r="U9" s="17">
        <f t="shared" si="10"/>
        <v>-180</v>
      </c>
      <c r="V9" s="28">
        <v>988</v>
      </c>
      <c r="W9" s="17">
        <f t="shared" si="7"/>
        <v>2853</v>
      </c>
      <c r="X9" s="10">
        <f t="shared" si="3"/>
        <v>1168</v>
      </c>
      <c r="Y9" s="17">
        <f t="shared" si="11"/>
        <v>2848</v>
      </c>
      <c r="Z9" s="17">
        <f t="shared" si="4"/>
        <v>-180</v>
      </c>
      <c r="AA9" s="28">
        <v>580</v>
      </c>
      <c r="AB9" s="28"/>
      <c r="AC9" s="29"/>
      <c r="AD9" s="28"/>
      <c r="AE9" s="29"/>
      <c r="AF9" s="29">
        <v>22</v>
      </c>
      <c r="AG9" s="29">
        <v>30</v>
      </c>
      <c r="AH9" s="18">
        <f t="shared" si="12"/>
        <v>8</v>
      </c>
    </row>
    <row r="10" spans="1:34" ht="13">
      <c r="A10" s="45" t="s">
        <v>49</v>
      </c>
      <c r="B10" s="48">
        <v>41264</v>
      </c>
      <c r="C10" s="5" t="s">
        <v>63</v>
      </c>
      <c r="D10" s="47" t="s">
        <v>64</v>
      </c>
      <c r="E10" s="4" t="s">
        <v>65</v>
      </c>
      <c r="F10" s="5">
        <v>33</v>
      </c>
      <c r="G10" s="16">
        <f t="shared" si="8"/>
        <v>306</v>
      </c>
      <c r="H10" s="10">
        <f>ROUND(PRODUCT(G10/7),0)</f>
        <v>44</v>
      </c>
      <c r="I10" s="10">
        <f>ROUND(PRODUCT(G10/COUNT(F4:F10)),0)</f>
        <v>51</v>
      </c>
      <c r="J10" s="39">
        <v>9.7222222222222224E-2</v>
      </c>
      <c r="K10" s="20">
        <f t="shared" si="5"/>
        <v>0.87638888888888888</v>
      </c>
      <c r="L10" s="43">
        <f t="shared" si="0"/>
        <v>14.1</v>
      </c>
      <c r="M10" s="34">
        <v>48</v>
      </c>
      <c r="N10" s="39">
        <v>0.3125</v>
      </c>
      <c r="O10" s="20">
        <f t="shared" si="6"/>
        <v>1.7548611111111112</v>
      </c>
      <c r="P10" s="43">
        <f t="shared" si="1"/>
        <v>4.4000000000000004</v>
      </c>
      <c r="Q10" s="20">
        <f t="shared" si="2"/>
        <v>0.21527777777777779</v>
      </c>
      <c r="R10" s="20">
        <f t="shared" si="9"/>
        <v>0.87847222222222232</v>
      </c>
      <c r="S10" s="28">
        <v>10</v>
      </c>
      <c r="T10" s="28">
        <v>10</v>
      </c>
      <c r="U10" s="17">
        <f t="shared" si="10"/>
        <v>0</v>
      </c>
      <c r="V10" s="28">
        <v>376</v>
      </c>
      <c r="W10" s="17">
        <f t="shared" si="7"/>
        <v>3229</v>
      </c>
      <c r="X10" s="10">
        <f t="shared" si="3"/>
        <v>376</v>
      </c>
      <c r="Y10" s="17">
        <f t="shared" si="11"/>
        <v>3224</v>
      </c>
      <c r="Z10" s="17">
        <f t="shared" si="4"/>
        <v>0</v>
      </c>
      <c r="AA10" s="28">
        <v>80</v>
      </c>
      <c r="AB10" s="28"/>
      <c r="AC10" s="29"/>
      <c r="AD10" s="28"/>
      <c r="AE10" s="29"/>
      <c r="AF10" s="29">
        <v>21</v>
      </c>
      <c r="AG10" s="29">
        <v>26</v>
      </c>
      <c r="AH10" s="18">
        <f t="shared" si="12"/>
        <v>5</v>
      </c>
    </row>
    <row r="11" spans="1:34" ht="13">
      <c r="A11" s="44" t="s">
        <v>50</v>
      </c>
      <c r="B11" s="48">
        <v>41265</v>
      </c>
      <c r="C11" s="5" t="s">
        <v>65</v>
      </c>
      <c r="D11" s="47" t="s">
        <v>66</v>
      </c>
      <c r="E11" s="4" t="s">
        <v>67</v>
      </c>
      <c r="F11" s="5">
        <v>52</v>
      </c>
      <c r="G11" s="16">
        <f t="shared" si="8"/>
        <v>358</v>
      </c>
      <c r="H11" s="10">
        <f>ROUND(PRODUCT(G11/8),0)</f>
        <v>45</v>
      </c>
      <c r="I11" s="10">
        <f>ROUND(PRODUCT(G11/COUNT(F4:F11)),0)</f>
        <v>51</v>
      </c>
      <c r="J11" s="39">
        <v>0.23749999999999999</v>
      </c>
      <c r="K11" s="20">
        <f t="shared" si="5"/>
        <v>1.1138888888888889</v>
      </c>
      <c r="L11" s="43">
        <f t="shared" si="0"/>
        <v>9.1</v>
      </c>
      <c r="M11" s="35">
        <v>46</v>
      </c>
      <c r="N11" s="39">
        <v>0.36458333333333331</v>
      </c>
      <c r="O11" s="20">
        <f t="shared" si="6"/>
        <v>2.1194444444444445</v>
      </c>
      <c r="P11" s="43">
        <f t="shared" si="1"/>
        <v>5.9</v>
      </c>
      <c r="Q11" s="20">
        <f t="shared" si="2"/>
        <v>0.12708333333333333</v>
      </c>
      <c r="R11" s="20">
        <f t="shared" si="9"/>
        <v>1.0055555555555555</v>
      </c>
      <c r="S11" s="28">
        <v>10</v>
      </c>
      <c r="T11" s="28">
        <v>1040</v>
      </c>
      <c r="U11" s="17">
        <f t="shared" si="10"/>
        <v>1030</v>
      </c>
      <c r="V11" s="28">
        <v>1595</v>
      </c>
      <c r="W11" s="17">
        <f t="shared" si="7"/>
        <v>4824</v>
      </c>
      <c r="X11" s="10">
        <f t="shared" si="3"/>
        <v>565</v>
      </c>
      <c r="Y11" s="17">
        <f t="shared" si="11"/>
        <v>3789</v>
      </c>
      <c r="Z11" s="17">
        <f t="shared" si="4"/>
        <v>1030</v>
      </c>
      <c r="AA11" s="28">
        <v>1490</v>
      </c>
      <c r="AB11" s="28"/>
      <c r="AC11" s="29"/>
      <c r="AD11" s="28"/>
      <c r="AE11" s="29"/>
      <c r="AF11" s="29">
        <v>12</v>
      </c>
      <c r="AG11" s="29">
        <v>30</v>
      </c>
      <c r="AH11" s="18">
        <f t="shared" si="12"/>
        <v>18</v>
      </c>
    </row>
    <row r="12" spans="1:34" ht="13">
      <c r="A12" s="44" t="s">
        <v>51</v>
      </c>
      <c r="B12" s="48">
        <v>41266</v>
      </c>
      <c r="C12" s="5" t="s">
        <v>67</v>
      </c>
      <c r="D12" s="47" t="s">
        <v>71</v>
      </c>
      <c r="E12" s="4" t="s">
        <v>68</v>
      </c>
      <c r="F12" s="5">
        <v>74</v>
      </c>
      <c r="G12" s="16">
        <f t="shared" si="8"/>
        <v>432</v>
      </c>
      <c r="H12" s="10">
        <f>ROUND(PRODUCT(G12/9),0)</f>
        <v>48</v>
      </c>
      <c r="I12" s="10">
        <f>ROUND(PRODUCT(G12/COUNT(F4:F12)),0)</f>
        <v>54</v>
      </c>
      <c r="J12" s="39">
        <v>0.22291666666666665</v>
      </c>
      <c r="K12" s="20">
        <f t="shared" si="5"/>
        <v>1.3368055555555556</v>
      </c>
      <c r="L12" s="43">
        <f t="shared" si="0"/>
        <v>13.8</v>
      </c>
      <c r="M12" s="34">
        <v>47</v>
      </c>
      <c r="N12" s="39">
        <v>0.34722222222222227</v>
      </c>
      <c r="O12" s="20">
        <f t="shared" si="6"/>
        <v>2.4666666666666668</v>
      </c>
      <c r="P12" s="43">
        <f t="shared" si="1"/>
        <v>8.9</v>
      </c>
      <c r="Q12" s="20">
        <f t="shared" si="2"/>
        <v>0.12430555555555561</v>
      </c>
      <c r="R12" s="20">
        <f t="shared" si="9"/>
        <v>1.1298611111111112</v>
      </c>
      <c r="S12" s="28">
        <v>1040</v>
      </c>
      <c r="T12" s="28">
        <v>10</v>
      </c>
      <c r="U12" s="17">
        <f t="shared" si="10"/>
        <v>-1030</v>
      </c>
      <c r="V12" s="28">
        <v>1167</v>
      </c>
      <c r="W12" s="17">
        <f t="shared" si="7"/>
        <v>5991</v>
      </c>
      <c r="X12" s="10">
        <f t="shared" si="3"/>
        <v>2197</v>
      </c>
      <c r="Y12" s="17">
        <f t="shared" si="11"/>
        <v>5986</v>
      </c>
      <c r="Z12" s="17">
        <f t="shared" si="4"/>
        <v>-1030</v>
      </c>
      <c r="AA12" s="28">
        <v>1390</v>
      </c>
      <c r="AB12" s="28"/>
      <c r="AC12" s="29"/>
      <c r="AD12" s="28"/>
      <c r="AE12" s="29"/>
      <c r="AF12" s="29">
        <v>14</v>
      </c>
      <c r="AG12" s="29">
        <v>28</v>
      </c>
      <c r="AH12" s="18">
        <f t="shared" si="12"/>
        <v>14</v>
      </c>
    </row>
    <row r="13" spans="1:34" ht="13">
      <c r="A13" s="49" t="s">
        <v>5</v>
      </c>
      <c r="B13" s="48">
        <v>41267</v>
      </c>
      <c r="C13" s="5" t="s">
        <v>68</v>
      </c>
      <c r="D13" s="47" t="s">
        <v>69</v>
      </c>
      <c r="E13" s="4" t="s">
        <v>70</v>
      </c>
      <c r="F13" s="5">
        <v>56</v>
      </c>
      <c r="G13" s="16">
        <f t="shared" si="8"/>
        <v>488</v>
      </c>
      <c r="H13" s="10">
        <f>ROUND(PRODUCT(G13/10),0)</f>
        <v>49</v>
      </c>
      <c r="I13" s="10">
        <f>ROUND(PRODUCT(G13/COUNT(F4:F13)),0)</f>
        <v>54</v>
      </c>
      <c r="J13" s="39">
        <v>0.19375000000000001</v>
      </c>
      <c r="K13" s="20">
        <f t="shared" si="5"/>
        <v>1.5305555555555557</v>
      </c>
      <c r="L13" s="43">
        <f t="shared" si="0"/>
        <v>12</v>
      </c>
      <c r="M13" s="35">
        <v>62</v>
      </c>
      <c r="N13" s="39">
        <v>0.3125</v>
      </c>
      <c r="O13" s="20">
        <f t="shared" si="6"/>
        <v>2.7791666666666668</v>
      </c>
      <c r="P13" s="43">
        <f t="shared" si="1"/>
        <v>7.5</v>
      </c>
      <c r="Q13" s="20">
        <f t="shared" si="2"/>
        <v>0.11874999999999999</v>
      </c>
      <c r="R13" s="20">
        <f t="shared" si="9"/>
        <v>1.2486111111111111</v>
      </c>
      <c r="S13" s="28">
        <v>10</v>
      </c>
      <c r="T13" s="28">
        <v>60</v>
      </c>
      <c r="U13" s="17">
        <f t="shared" si="10"/>
        <v>50</v>
      </c>
      <c r="V13" s="28">
        <v>1111</v>
      </c>
      <c r="W13" s="17">
        <f t="shared" si="7"/>
        <v>7102</v>
      </c>
      <c r="X13" s="10">
        <f t="shared" si="3"/>
        <v>1061</v>
      </c>
      <c r="Y13" s="17">
        <f t="shared" si="11"/>
        <v>7047</v>
      </c>
      <c r="Z13" s="17">
        <f t="shared" si="4"/>
        <v>50</v>
      </c>
      <c r="AA13" s="28">
        <v>660</v>
      </c>
      <c r="AB13" s="28"/>
      <c r="AC13" s="29"/>
      <c r="AD13" s="28"/>
      <c r="AE13" s="29"/>
      <c r="AF13" s="29">
        <v>18</v>
      </c>
      <c r="AG13" s="29">
        <v>31</v>
      </c>
      <c r="AH13" s="18">
        <f t="shared" si="12"/>
        <v>13</v>
      </c>
    </row>
    <row r="14" spans="1:34" ht="13">
      <c r="A14" s="47" t="s">
        <v>7</v>
      </c>
      <c r="B14" s="48">
        <v>41268</v>
      </c>
      <c r="C14" s="5"/>
      <c r="D14" s="47" t="s">
        <v>72</v>
      </c>
      <c r="E14" s="4"/>
      <c r="F14" s="5"/>
      <c r="G14" s="16">
        <f t="shared" si="8"/>
        <v>488</v>
      </c>
      <c r="H14" s="10">
        <f>ROUND(PRODUCT(G14/11),0)</f>
        <v>44</v>
      </c>
      <c r="I14" s="10">
        <f>ROUND(PRODUCT(G14/COUNT(F4:F14)),0)</f>
        <v>54</v>
      </c>
      <c r="J14" s="39"/>
      <c r="K14" s="20">
        <f t="shared" si="5"/>
        <v>1.5305555555555557</v>
      </c>
      <c r="L14" s="43">
        <f t="shared" si="0"/>
        <v>0</v>
      </c>
      <c r="M14" s="35"/>
      <c r="N14" s="39"/>
      <c r="O14" s="20">
        <f t="shared" si="6"/>
        <v>2.7791666666666668</v>
      </c>
      <c r="P14" s="43">
        <f t="shared" si="1"/>
        <v>0</v>
      </c>
      <c r="Q14" s="20">
        <f t="shared" si="2"/>
        <v>0</v>
      </c>
      <c r="R14" s="20">
        <f t="shared" si="9"/>
        <v>1.2486111111111111</v>
      </c>
      <c r="S14" s="28"/>
      <c r="T14" s="28"/>
      <c r="U14" s="17">
        <f t="shared" si="10"/>
        <v>0</v>
      </c>
      <c r="V14" s="28"/>
      <c r="W14" s="17">
        <f t="shared" si="7"/>
        <v>7102</v>
      </c>
      <c r="X14" s="10">
        <f t="shared" si="3"/>
        <v>0</v>
      </c>
      <c r="Y14" s="17">
        <f t="shared" si="11"/>
        <v>7047</v>
      </c>
      <c r="Z14" s="17">
        <f t="shared" si="4"/>
        <v>0</v>
      </c>
      <c r="AA14" s="28"/>
      <c r="AB14" s="28"/>
      <c r="AC14" s="29"/>
      <c r="AD14" s="28"/>
      <c r="AE14" s="29"/>
      <c r="AF14" s="29"/>
      <c r="AG14" s="29"/>
      <c r="AH14" s="18">
        <f t="shared" si="12"/>
        <v>0</v>
      </c>
    </row>
    <row r="15" spans="1:34" ht="13">
      <c r="A15" s="47" t="s">
        <v>35</v>
      </c>
      <c r="B15" s="48">
        <v>41269</v>
      </c>
      <c r="C15" s="5" t="s">
        <v>72</v>
      </c>
      <c r="D15" s="47" t="s">
        <v>80</v>
      </c>
      <c r="E15" s="4" t="s">
        <v>73</v>
      </c>
      <c r="F15" s="5">
        <v>43</v>
      </c>
      <c r="G15" s="16">
        <f t="shared" si="8"/>
        <v>531</v>
      </c>
      <c r="H15" s="10">
        <f>ROUND(PRODUCT(G15/12),0)</f>
        <v>44</v>
      </c>
      <c r="I15" s="10">
        <f>ROUND(PRODUCT(G15/COUNT(F4:F15)),0)</f>
        <v>53</v>
      </c>
      <c r="J15" s="39">
        <v>0.1451388888888889</v>
      </c>
      <c r="K15" s="20">
        <f t="shared" si="5"/>
        <v>1.6756944444444446</v>
      </c>
      <c r="L15" s="43">
        <f t="shared" si="0"/>
        <v>12.3</v>
      </c>
      <c r="M15" s="34">
        <v>53</v>
      </c>
      <c r="N15" s="39">
        <v>0.35416666666666669</v>
      </c>
      <c r="O15" s="20">
        <f t="shared" si="6"/>
        <v>3.1333333333333333</v>
      </c>
      <c r="P15" s="43">
        <f t="shared" si="1"/>
        <v>5.0999999999999996</v>
      </c>
      <c r="Q15" s="20">
        <f t="shared" si="2"/>
        <v>0.20902777777777778</v>
      </c>
      <c r="R15" s="20">
        <f t="shared" si="9"/>
        <v>1.4576388888888889</v>
      </c>
      <c r="S15" s="28">
        <v>60</v>
      </c>
      <c r="T15" s="28">
        <v>25</v>
      </c>
      <c r="U15" s="17">
        <f t="shared" si="10"/>
        <v>-35</v>
      </c>
      <c r="V15" s="28">
        <v>999</v>
      </c>
      <c r="W15" s="17">
        <f t="shared" si="7"/>
        <v>8101</v>
      </c>
      <c r="X15" s="10">
        <f t="shared" si="3"/>
        <v>1034</v>
      </c>
      <c r="Y15" s="17">
        <f t="shared" si="11"/>
        <v>8081</v>
      </c>
      <c r="Z15" s="17">
        <f t="shared" si="4"/>
        <v>-35</v>
      </c>
      <c r="AA15" s="28">
        <v>560</v>
      </c>
      <c r="AB15" s="28"/>
      <c r="AC15" s="29"/>
      <c r="AD15" s="28"/>
      <c r="AE15" s="29"/>
      <c r="AF15" s="29">
        <v>17</v>
      </c>
      <c r="AG15" s="29">
        <v>22</v>
      </c>
      <c r="AH15" s="18">
        <f t="shared" si="12"/>
        <v>5</v>
      </c>
    </row>
    <row r="16" spans="1:34" ht="13">
      <c r="A16" s="47" t="s">
        <v>36</v>
      </c>
      <c r="B16" s="48">
        <v>41270</v>
      </c>
      <c r="C16" s="5"/>
      <c r="D16" s="47" t="s">
        <v>73</v>
      </c>
      <c r="E16" s="4"/>
      <c r="F16" s="5"/>
      <c r="G16" s="16">
        <f t="shared" si="8"/>
        <v>531</v>
      </c>
      <c r="H16" s="10">
        <f>ROUND(PRODUCT(G16/13),0)</f>
        <v>41</v>
      </c>
      <c r="I16" s="10">
        <f>ROUND(PRODUCT(G16/COUNT(F4:F16)),0)</f>
        <v>53</v>
      </c>
      <c r="J16" s="39"/>
      <c r="K16" s="20">
        <f t="shared" si="5"/>
        <v>1.6756944444444446</v>
      </c>
      <c r="L16" s="43">
        <f t="shared" si="0"/>
        <v>0</v>
      </c>
      <c r="M16" s="34"/>
      <c r="N16" s="39"/>
      <c r="O16" s="20">
        <f t="shared" si="6"/>
        <v>3.1333333333333333</v>
      </c>
      <c r="P16" s="43">
        <f t="shared" si="1"/>
        <v>0</v>
      </c>
      <c r="Q16" s="20">
        <f t="shared" si="2"/>
        <v>0</v>
      </c>
      <c r="R16" s="20">
        <f t="shared" si="9"/>
        <v>1.4576388888888889</v>
      </c>
      <c r="S16" s="28"/>
      <c r="T16" s="28"/>
      <c r="U16" s="17">
        <f t="shared" si="10"/>
        <v>0</v>
      </c>
      <c r="V16" s="28"/>
      <c r="W16" s="17">
        <f t="shared" si="7"/>
        <v>8101</v>
      </c>
      <c r="X16" s="10">
        <f t="shared" si="3"/>
        <v>0</v>
      </c>
      <c r="Y16" s="17">
        <f t="shared" si="11"/>
        <v>8081</v>
      </c>
      <c r="Z16" s="17">
        <f t="shared" si="4"/>
        <v>0</v>
      </c>
      <c r="AA16" s="28"/>
      <c r="AB16" s="28"/>
      <c r="AC16" s="29"/>
      <c r="AD16" s="28"/>
      <c r="AE16" s="29"/>
      <c r="AF16" s="29"/>
      <c r="AG16" s="29"/>
      <c r="AH16" s="18">
        <f t="shared" si="12"/>
        <v>0</v>
      </c>
    </row>
    <row r="17" spans="1:34" ht="13">
      <c r="A17" s="47" t="s">
        <v>37</v>
      </c>
      <c r="B17" s="48">
        <v>41271</v>
      </c>
      <c r="C17" s="5" t="s">
        <v>73</v>
      </c>
      <c r="D17" s="47" t="s">
        <v>74</v>
      </c>
      <c r="E17" s="4" t="s">
        <v>75</v>
      </c>
      <c r="F17" s="5">
        <v>52</v>
      </c>
      <c r="G17" s="16">
        <f t="shared" si="8"/>
        <v>583</v>
      </c>
      <c r="H17" s="10">
        <f>ROUND(PRODUCT(G17/14),0)</f>
        <v>42</v>
      </c>
      <c r="I17" s="10">
        <f>ROUND(PRODUCT(G17/COUNT(F4:F17)),0)</f>
        <v>53</v>
      </c>
      <c r="J17" s="39">
        <v>0.17083333333333331</v>
      </c>
      <c r="K17" s="20">
        <f t="shared" si="5"/>
        <v>1.846527777777778</v>
      </c>
      <c r="L17" s="43">
        <f t="shared" si="0"/>
        <v>12.7</v>
      </c>
      <c r="M17" s="34">
        <v>58</v>
      </c>
      <c r="N17" s="39">
        <v>0.25</v>
      </c>
      <c r="O17" s="20">
        <f t="shared" si="6"/>
        <v>3.3833333333333333</v>
      </c>
      <c r="P17" s="43">
        <f t="shared" si="1"/>
        <v>8.6999999999999993</v>
      </c>
      <c r="Q17" s="20">
        <f t="shared" si="2"/>
        <v>7.9166666666666691E-2</v>
      </c>
      <c r="R17" s="20">
        <f t="shared" si="9"/>
        <v>1.5368055555555555</v>
      </c>
      <c r="S17" s="28">
        <v>25</v>
      </c>
      <c r="T17" s="28">
        <v>15</v>
      </c>
      <c r="U17" s="17">
        <f t="shared" si="10"/>
        <v>-10</v>
      </c>
      <c r="V17" s="28">
        <v>1060</v>
      </c>
      <c r="W17" s="17">
        <f t="shared" si="7"/>
        <v>9161</v>
      </c>
      <c r="X17" s="10">
        <f t="shared" si="3"/>
        <v>1070</v>
      </c>
      <c r="Y17" s="17">
        <f t="shared" si="11"/>
        <v>9151</v>
      </c>
      <c r="Z17" s="17">
        <f t="shared" si="4"/>
        <v>-10</v>
      </c>
      <c r="AA17" s="28">
        <v>620</v>
      </c>
      <c r="AB17" s="28"/>
      <c r="AC17" s="29"/>
      <c r="AD17" s="28"/>
      <c r="AE17" s="29"/>
      <c r="AF17" s="29">
        <v>19</v>
      </c>
      <c r="AG17" s="29">
        <v>25</v>
      </c>
      <c r="AH17" s="18">
        <f t="shared" si="12"/>
        <v>6</v>
      </c>
    </row>
    <row r="18" spans="1:34" ht="13">
      <c r="A18" s="47" t="s">
        <v>38</v>
      </c>
      <c r="B18" s="48">
        <v>41272</v>
      </c>
      <c r="C18" s="5" t="s">
        <v>75</v>
      </c>
      <c r="D18" s="47" t="s">
        <v>76</v>
      </c>
      <c r="E18" s="4" t="s">
        <v>75</v>
      </c>
      <c r="F18" s="5">
        <v>93</v>
      </c>
      <c r="G18" s="16">
        <f t="shared" si="8"/>
        <v>676</v>
      </c>
      <c r="H18" s="10">
        <f>ROUND(PRODUCT(G18/15),0)</f>
        <v>45</v>
      </c>
      <c r="I18" s="10">
        <f>ROUND(PRODUCT(G18/COUNT(F4:F18)),0)</f>
        <v>56</v>
      </c>
      <c r="J18" s="39">
        <v>0.34375</v>
      </c>
      <c r="K18" s="20">
        <f t="shared" si="5"/>
        <v>2.1902777777777782</v>
      </c>
      <c r="L18" s="43">
        <f t="shared" si="0"/>
        <v>11.3</v>
      </c>
      <c r="M18" s="34">
        <v>48</v>
      </c>
      <c r="N18" s="39">
        <v>0.41666666666666669</v>
      </c>
      <c r="O18" s="20">
        <f t="shared" si="6"/>
        <v>3.8</v>
      </c>
      <c r="P18" s="43">
        <f t="shared" si="1"/>
        <v>9.3000000000000007</v>
      </c>
      <c r="Q18" s="20">
        <f t="shared" si="2"/>
        <v>7.2916666666666685E-2</v>
      </c>
      <c r="R18" s="20">
        <f t="shared" si="9"/>
        <v>1.6097222222222223</v>
      </c>
      <c r="S18" s="28">
        <v>15</v>
      </c>
      <c r="T18" s="28">
        <v>15</v>
      </c>
      <c r="U18" s="17">
        <f t="shared" si="10"/>
        <v>0</v>
      </c>
      <c r="V18" s="28">
        <v>2405</v>
      </c>
      <c r="W18" s="17">
        <f t="shared" si="7"/>
        <v>11566</v>
      </c>
      <c r="X18" s="10">
        <f t="shared" si="3"/>
        <v>2405</v>
      </c>
      <c r="Y18" s="17">
        <f t="shared" si="11"/>
        <v>11556</v>
      </c>
      <c r="Z18" s="17">
        <f t="shared" si="4"/>
        <v>0</v>
      </c>
      <c r="AA18" s="28">
        <v>2300</v>
      </c>
      <c r="AB18" s="10"/>
      <c r="AC18" s="29"/>
      <c r="AD18" s="28"/>
      <c r="AE18" s="29"/>
      <c r="AF18" s="29">
        <v>9</v>
      </c>
      <c r="AG18" s="29">
        <v>20</v>
      </c>
      <c r="AH18" s="18">
        <f t="shared" si="12"/>
        <v>11</v>
      </c>
    </row>
    <row r="19" spans="1:34" ht="13">
      <c r="A19" s="47" t="s">
        <v>39</v>
      </c>
      <c r="B19" s="48">
        <v>41273</v>
      </c>
      <c r="C19" s="5" t="s">
        <v>75</v>
      </c>
      <c r="D19" s="47" t="s">
        <v>77</v>
      </c>
      <c r="E19" s="4" t="s">
        <v>78</v>
      </c>
      <c r="F19" s="5">
        <v>67</v>
      </c>
      <c r="G19" s="16">
        <f t="shared" si="8"/>
        <v>743</v>
      </c>
      <c r="H19" s="10">
        <f>ROUND(PRODUCT(G19/16),0)</f>
        <v>46</v>
      </c>
      <c r="I19" s="10">
        <f>ROUND(PRODUCT(G19/COUNT(F4:F19)),0)</f>
        <v>57</v>
      </c>
      <c r="J19" s="39">
        <v>0.21666666666666667</v>
      </c>
      <c r="K19" s="20">
        <f t="shared" si="5"/>
        <v>2.406944444444445</v>
      </c>
      <c r="L19" s="43">
        <f t="shared" si="0"/>
        <v>12.9</v>
      </c>
      <c r="M19" s="34">
        <v>44</v>
      </c>
      <c r="N19" s="39">
        <v>0.33333333333333331</v>
      </c>
      <c r="O19" s="20">
        <f t="shared" si="6"/>
        <v>4.1333333333333329</v>
      </c>
      <c r="P19" s="43">
        <f t="shared" si="1"/>
        <v>8.4</v>
      </c>
      <c r="Q19" s="20">
        <f t="shared" si="2"/>
        <v>0.11666666666666664</v>
      </c>
      <c r="R19" s="20">
        <f t="shared" si="9"/>
        <v>1.726388888888889</v>
      </c>
      <c r="S19" s="28">
        <v>15</v>
      </c>
      <c r="T19" s="28">
        <v>25</v>
      </c>
      <c r="U19" s="17">
        <f t="shared" si="10"/>
        <v>10</v>
      </c>
      <c r="V19" s="28">
        <v>1488</v>
      </c>
      <c r="W19" s="17">
        <f t="shared" si="7"/>
        <v>13054</v>
      </c>
      <c r="X19" s="10">
        <f t="shared" si="3"/>
        <v>1478</v>
      </c>
      <c r="Y19" s="17">
        <f t="shared" si="11"/>
        <v>13034</v>
      </c>
      <c r="Z19" s="17">
        <f t="shared" si="4"/>
        <v>10</v>
      </c>
      <c r="AA19" s="28">
        <v>1117</v>
      </c>
      <c r="AB19" s="28"/>
      <c r="AC19" s="29"/>
      <c r="AD19" s="28"/>
      <c r="AE19" s="29"/>
      <c r="AF19" s="29">
        <v>13</v>
      </c>
      <c r="AG19" s="29">
        <v>24</v>
      </c>
      <c r="AH19" s="18">
        <f t="shared" si="12"/>
        <v>11</v>
      </c>
    </row>
    <row r="20" spans="1:34" ht="13">
      <c r="A20" s="47" t="s">
        <v>40</v>
      </c>
      <c r="B20" s="48">
        <v>41274</v>
      </c>
      <c r="C20" s="5" t="s">
        <v>78</v>
      </c>
      <c r="D20" s="47" t="s">
        <v>79</v>
      </c>
      <c r="E20" s="4" t="s">
        <v>81</v>
      </c>
      <c r="F20" s="5">
        <v>42</v>
      </c>
      <c r="G20" s="16">
        <f t="shared" si="8"/>
        <v>785</v>
      </c>
      <c r="H20" s="10">
        <f>ROUND(PRODUCT(G20/17),0)</f>
        <v>46</v>
      </c>
      <c r="I20" s="10">
        <f>ROUND(PRODUCT(G20/COUNT(F4:F20)),0)</f>
        <v>56</v>
      </c>
      <c r="J20" s="39">
        <v>0.13194444444444445</v>
      </c>
      <c r="K20" s="20">
        <f t="shared" si="5"/>
        <v>2.5388888888888896</v>
      </c>
      <c r="L20" s="43">
        <f t="shared" si="0"/>
        <v>13.3</v>
      </c>
      <c r="M20" s="34">
        <v>46</v>
      </c>
      <c r="N20" s="39">
        <v>0.18055555555555555</v>
      </c>
      <c r="O20" s="20">
        <f t="shared" si="6"/>
        <v>4.3138888888888882</v>
      </c>
      <c r="P20" s="43">
        <f t="shared" si="1"/>
        <v>9.6999999999999993</v>
      </c>
      <c r="Q20" s="20">
        <f t="shared" si="2"/>
        <v>4.8611111111111105E-2</v>
      </c>
      <c r="R20" s="20">
        <f t="shared" si="9"/>
        <v>1.7750000000000001</v>
      </c>
      <c r="S20" s="28">
        <v>25</v>
      </c>
      <c r="T20" s="28">
        <v>90</v>
      </c>
      <c r="U20" s="17">
        <f t="shared" si="10"/>
        <v>65</v>
      </c>
      <c r="V20" s="28">
        <v>655</v>
      </c>
      <c r="W20" s="17">
        <f t="shared" si="7"/>
        <v>13709</v>
      </c>
      <c r="X20" s="10">
        <f t="shared" si="3"/>
        <v>590</v>
      </c>
      <c r="Y20" s="17">
        <f t="shared" si="11"/>
        <v>13624</v>
      </c>
      <c r="Z20" s="17">
        <f t="shared" si="4"/>
        <v>65</v>
      </c>
      <c r="AA20" s="28">
        <v>240</v>
      </c>
      <c r="AB20" s="28"/>
      <c r="AC20" s="29"/>
      <c r="AD20" s="28"/>
      <c r="AE20" s="29"/>
      <c r="AF20" s="29">
        <v>20</v>
      </c>
      <c r="AG20" s="29">
        <v>25</v>
      </c>
      <c r="AH20" s="18">
        <f t="shared" si="12"/>
        <v>5</v>
      </c>
    </row>
    <row r="21" spans="1:34" ht="13">
      <c r="A21" s="30" t="s">
        <v>6</v>
      </c>
      <c r="B21" s="57"/>
      <c r="C21" s="58"/>
      <c r="D21" s="58"/>
      <c r="E21" s="59"/>
      <c r="F21" s="31">
        <f>SUM(F4:F20)</f>
        <v>785</v>
      </c>
      <c r="G21" s="21">
        <f>SUM(G20)</f>
        <v>785</v>
      </c>
      <c r="H21" s="21">
        <f>SUM(H20)</f>
        <v>46</v>
      </c>
      <c r="I21" s="21">
        <f>SUM(I20)</f>
        <v>56</v>
      </c>
      <c r="J21" s="22">
        <f>SUM(J4:J20)</f>
        <v>2.5388888888888896</v>
      </c>
      <c r="K21" s="37">
        <f>F21/SUM(HOUR(J21)+(ROUNDDOWN(J21,0)*24),PRODUCT(MINUTE(J21)/60))</f>
        <v>12.88293216630197</v>
      </c>
      <c r="L21" s="42">
        <f>SUM(L4:L20)/COUNT(F4:F20)</f>
        <v>13.064285714285715</v>
      </c>
      <c r="M21" s="46">
        <f>PRODUCT(SUM(M4:M20),1/COUNT(M4:M20))</f>
        <v>49</v>
      </c>
      <c r="N21" s="22">
        <f>SUM(N4:N20)</f>
        <v>4.3138888888888882</v>
      </c>
      <c r="O21" s="37">
        <f>F21/SUM(HOUR(N21)+(ROUNDDOWN(N21,0)*24),PRODUCT(MINUTE(N21)/60))</f>
        <v>7.5820991629104961</v>
      </c>
      <c r="P21" s="42">
        <f>SUM(P4:P20)/COUNT(F4:F20)</f>
        <v>7.7857142857142856</v>
      </c>
      <c r="Q21" s="22">
        <f>SUM(Q4:Q20)</f>
        <v>1.7750000000000001</v>
      </c>
      <c r="R21" s="21"/>
      <c r="S21" s="21">
        <f>ROUND(SUM(S4:S20)/COUNT(S4:S20),0)</f>
        <v>109</v>
      </c>
      <c r="T21" s="21">
        <f>ROUND(SUM(T4:T20)/COUNT(T4:T20),0)</f>
        <v>115</v>
      </c>
      <c r="U21" s="23">
        <f>SUM(U4:U20)</f>
        <v>85</v>
      </c>
      <c r="V21" s="21">
        <f>ROUND(SUM(V4:V20)/COUNT(V4:V20),0)</f>
        <v>979</v>
      </c>
      <c r="W21" s="21">
        <f>SUM(W20)</f>
        <v>13709</v>
      </c>
      <c r="X21" s="21">
        <f>ROUND(SUM(X4:X20)/COUNT(V4:V20),0)</f>
        <v>973</v>
      </c>
      <c r="Y21" s="21">
        <f>SUM(Y20)</f>
        <v>13624</v>
      </c>
      <c r="Z21" s="23">
        <f>SUM(Z4:Z20)</f>
        <v>85</v>
      </c>
      <c r="AA21" s="21">
        <f>ROUND(SUM(AA4:AA20)/COUNT(AA4:AA20),0)</f>
        <v>715</v>
      </c>
      <c r="AB21" s="36" t="e">
        <f t="shared" ref="AB21:AG21" si="13">SUM(AB4:AB20)/COUNT(AB4:AB20)</f>
        <v>#DIV/0!</v>
      </c>
      <c r="AC21" s="36" t="e">
        <f t="shared" si="13"/>
        <v>#DIV/0!</v>
      </c>
      <c r="AD21" s="36" t="e">
        <f t="shared" si="13"/>
        <v>#DIV/0!</v>
      </c>
      <c r="AE21" s="36" t="e">
        <f t="shared" si="13"/>
        <v>#DIV/0!</v>
      </c>
      <c r="AF21" s="36">
        <f t="shared" si="13"/>
        <v>17</v>
      </c>
      <c r="AG21" s="36">
        <f t="shared" si="13"/>
        <v>25.923076923076923</v>
      </c>
      <c r="AH21" s="36">
        <f>SUM(AH4:AH20)/COUNT(AG4:AG20)</f>
        <v>8.9230769230769234</v>
      </c>
    </row>
    <row r="22" spans="1:34" ht="13">
      <c r="Q22" s="10"/>
      <c r="R22" s="10"/>
      <c r="S22" s="10"/>
      <c r="W22" s="17"/>
      <c r="Y22" s="17"/>
    </row>
    <row r="23" spans="1:34" ht="13">
      <c r="O23" s="10"/>
      <c r="P23" s="10"/>
      <c r="Q23" s="10"/>
      <c r="R23" s="32"/>
      <c r="S23" s="10"/>
      <c r="T23" s="10"/>
      <c r="U23" s="10"/>
      <c r="V23" s="10"/>
      <c r="W23" s="17"/>
      <c r="X23" s="10"/>
      <c r="Y23" s="17"/>
      <c r="Z23" s="10"/>
      <c r="AA23" s="10"/>
    </row>
    <row r="24" spans="1:34" ht="13">
      <c r="N24" s="41"/>
      <c r="O24" s="10"/>
      <c r="P24" s="10"/>
      <c r="Q24" s="40"/>
      <c r="R24" s="40"/>
      <c r="S24" s="10"/>
      <c r="T24" s="10"/>
      <c r="U24" s="10"/>
      <c r="V24" s="10"/>
      <c r="W24" s="10"/>
      <c r="X24" s="10"/>
      <c r="Y24" s="10"/>
      <c r="Z24" s="10"/>
      <c r="AA24" s="10"/>
    </row>
    <row r="25" spans="1:34" ht="13">
      <c r="O25" s="10"/>
      <c r="P25" s="10"/>
      <c r="Q25" s="40"/>
      <c r="R25" s="40"/>
      <c r="S25" s="10"/>
      <c r="T25" s="10"/>
      <c r="U25" s="10"/>
      <c r="V25" s="10"/>
      <c r="W25" s="10"/>
      <c r="X25" s="10"/>
      <c r="Y25" s="10"/>
      <c r="Z25" s="10"/>
      <c r="AA25" s="10"/>
    </row>
    <row r="26" spans="1:34" ht="13">
      <c r="O26" s="10"/>
      <c r="P26" s="10"/>
      <c r="Q26" s="10"/>
      <c r="R26" s="40"/>
      <c r="S26" s="10"/>
      <c r="T26" s="10"/>
      <c r="U26" s="10"/>
      <c r="V26" s="10"/>
      <c r="W26" s="10"/>
      <c r="X26" s="10"/>
      <c r="Y26" s="10"/>
      <c r="Z26" s="10"/>
      <c r="AA26" s="10"/>
    </row>
    <row r="27" spans="1:34"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</sheetData>
  <mergeCells count="4">
    <mergeCell ref="A1:F1"/>
    <mergeCell ref="A2:F2"/>
    <mergeCell ref="G1:AH1"/>
    <mergeCell ref="B21:E21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D09A2-F6AF-45EE-87A5-B9776CA54D29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15DC5-9D50-4475-9AED-AAD003917A0A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2025-11-12T20:13:53Z</dcterms:modified>
</cp:coreProperties>
</file>