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chris\Documents\V - My Sports\Bike\0000 Radstrecken\tour 001-120\"/>
    </mc:Choice>
  </mc:AlternateContent>
  <xr:revisionPtr revIDLastSave="0" documentId="8_{7F796FB7-3FC5-4163-AEE5-D4021BFD66D3}" xr6:coauthVersionLast="47" xr6:coauthVersionMax="47" xr10:uidLastSave="{00000000-0000-0000-0000-000000000000}"/>
  <bookViews>
    <workbookView xWindow="-110" yWindow="-110" windowWidth="19420" windowHeight="10420" xr2:uid="{9B935811-5C59-49A0-87E8-5B6FB098191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H4" i="1" s="1"/>
  <c r="I4" i="1"/>
  <c r="K4" i="1"/>
  <c r="L4" i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P4" i="1"/>
  <c r="P19" i="1" s="1"/>
  <c r="Q4" i="1"/>
  <c r="R4" i="1" s="1"/>
  <c r="U4" i="1"/>
  <c r="W4" i="1"/>
  <c r="W5" i="1" s="1"/>
  <c r="W6" i="1" s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X4" i="1"/>
  <c r="Y4" i="1"/>
  <c r="Z4" i="1"/>
  <c r="AH4" i="1"/>
  <c r="AH19" i="1" s="1"/>
  <c r="G5" i="1"/>
  <c r="H5" i="1" s="1"/>
  <c r="K5" i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L5" i="1"/>
  <c r="P5" i="1"/>
  <c r="Q5" i="1"/>
  <c r="Q19" i="1" s="1"/>
  <c r="U5" i="1"/>
  <c r="X5" i="1"/>
  <c r="Y5" i="1"/>
  <c r="Z5" i="1"/>
  <c r="AH5" i="1"/>
  <c r="G6" i="1"/>
  <c r="I6" i="1" s="1"/>
  <c r="L6" i="1"/>
  <c r="P6" i="1"/>
  <c r="Q6" i="1"/>
  <c r="U6" i="1"/>
  <c r="X6" i="1"/>
  <c r="Y6" i="1"/>
  <c r="Z6" i="1"/>
  <c r="AH6" i="1"/>
  <c r="L7" i="1"/>
  <c r="P7" i="1"/>
  <c r="Q7" i="1"/>
  <c r="U7" i="1"/>
  <c r="X7" i="1"/>
  <c r="Y7" i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Z7" i="1"/>
  <c r="AH7" i="1"/>
  <c r="L8" i="1"/>
  <c r="P8" i="1"/>
  <c r="Q8" i="1"/>
  <c r="U8" i="1"/>
  <c r="X8" i="1"/>
  <c r="Z8" i="1" s="1"/>
  <c r="AH8" i="1"/>
  <c r="L9" i="1"/>
  <c r="P9" i="1"/>
  <c r="Q9" i="1"/>
  <c r="U9" i="1"/>
  <c r="X9" i="1"/>
  <c r="Z9" i="1" s="1"/>
  <c r="AH9" i="1"/>
  <c r="L10" i="1"/>
  <c r="L19" i="1" s="1"/>
  <c r="P10" i="1"/>
  <c r="Q10" i="1"/>
  <c r="U10" i="1"/>
  <c r="X10" i="1"/>
  <c r="Z10" i="1" s="1"/>
  <c r="AH10" i="1"/>
  <c r="L11" i="1"/>
  <c r="P11" i="1"/>
  <c r="Q11" i="1"/>
  <c r="U11" i="1"/>
  <c r="X11" i="1"/>
  <c r="Z11" i="1"/>
  <c r="AH11" i="1"/>
  <c r="L12" i="1"/>
  <c r="P12" i="1"/>
  <c r="Q12" i="1"/>
  <c r="U12" i="1"/>
  <c r="X12" i="1"/>
  <c r="Z12" i="1"/>
  <c r="AH12" i="1"/>
  <c r="L13" i="1"/>
  <c r="P13" i="1"/>
  <c r="Q13" i="1"/>
  <c r="U13" i="1"/>
  <c r="X13" i="1"/>
  <c r="Z13" i="1"/>
  <c r="AH13" i="1"/>
  <c r="L14" i="1"/>
  <c r="P14" i="1"/>
  <c r="Q14" i="1"/>
  <c r="U14" i="1"/>
  <c r="X14" i="1"/>
  <c r="Z14" i="1" s="1"/>
  <c r="AH14" i="1"/>
  <c r="L15" i="1"/>
  <c r="P15" i="1"/>
  <c r="Q15" i="1"/>
  <c r="U15" i="1"/>
  <c r="U19" i="1" s="1"/>
  <c r="X15" i="1"/>
  <c r="Z15" i="1"/>
  <c r="AH15" i="1"/>
  <c r="L16" i="1"/>
  <c r="P16" i="1"/>
  <c r="Q16" i="1"/>
  <c r="U16" i="1"/>
  <c r="X16" i="1"/>
  <c r="Z16" i="1" s="1"/>
  <c r="AH16" i="1"/>
  <c r="L17" i="1"/>
  <c r="P17" i="1"/>
  <c r="Q17" i="1"/>
  <c r="U17" i="1"/>
  <c r="X17" i="1"/>
  <c r="Z17" i="1" s="1"/>
  <c r="AH17" i="1"/>
  <c r="L18" i="1"/>
  <c r="P18" i="1"/>
  <c r="Q18" i="1"/>
  <c r="U18" i="1"/>
  <c r="X18" i="1"/>
  <c r="Z18" i="1"/>
  <c r="AH18" i="1"/>
  <c r="F19" i="1"/>
  <c r="O19" i="1" s="1"/>
  <c r="J19" i="1"/>
  <c r="K19" i="1"/>
  <c r="M19" i="1"/>
  <c r="N19" i="1"/>
  <c r="S19" i="1"/>
  <c r="T19" i="1"/>
  <c r="V19" i="1"/>
  <c r="AA19" i="1"/>
  <c r="AB19" i="1"/>
  <c r="AC19" i="1"/>
  <c r="AD19" i="1"/>
  <c r="AE19" i="1"/>
  <c r="AF19" i="1"/>
  <c r="AG19" i="1"/>
  <c r="Z19" i="1" l="1"/>
  <c r="H6" i="1"/>
  <c r="R5" i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X19" i="1"/>
  <c r="I5" i="1"/>
  <c r="G7" i="1"/>
  <c r="G8" i="1" l="1"/>
  <c r="H7" i="1"/>
  <c r="I7" i="1"/>
  <c r="I8" i="1" l="1"/>
  <c r="H8" i="1"/>
  <c r="G9" i="1"/>
  <c r="G10" i="1" l="1"/>
  <c r="H9" i="1"/>
  <c r="I9" i="1"/>
  <c r="G11" i="1" l="1"/>
  <c r="H10" i="1"/>
  <c r="I10" i="1"/>
  <c r="G12" i="1" l="1"/>
  <c r="H11" i="1"/>
  <c r="I11" i="1"/>
  <c r="H12" i="1" l="1"/>
  <c r="I12" i="1"/>
  <c r="G13" i="1"/>
  <c r="H13" i="1" l="1"/>
  <c r="I13" i="1"/>
  <c r="G14" i="1"/>
  <c r="I14" i="1" l="1"/>
  <c r="G15" i="1"/>
  <c r="H14" i="1"/>
  <c r="H15" i="1" l="1"/>
  <c r="G16" i="1"/>
  <c r="I15" i="1"/>
  <c r="H16" i="1" l="1"/>
  <c r="I16" i="1"/>
  <c r="G17" i="1"/>
  <c r="G18" i="1" l="1"/>
  <c r="I17" i="1"/>
  <c r="H17" i="1"/>
  <c r="G19" i="1" l="1"/>
  <c r="H18" i="1"/>
  <c r="H19" i="1" s="1"/>
  <c r="I18" i="1"/>
  <c r="I19" i="1" s="1"/>
</calcChain>
</file>

<file path=xl/sharedStrings.xml><?xml version="1.0" encoding="utf-8"?>
<sst xmlns="http://schemas.openxmlformats.org/spreadsheetml/2006/main" count="92" uniqueCount="77">
  <si>
    <t>Tag</t>
  </si>
  <si>
    <t>Datum</t>
  </si>
  <si>
    <t>Start</t>
  </si>
  <si>
    <t>Zwischenstationen</t>
  </si>
  <si>
    <t>Ziel</t>
  </si>
  <si>
    <t>10.</t>
  </si>
  <si>
    <t>Summe</t>
  </si>
  <si>
    <t>11.</t>
  </si>
  <si>
    <t>Fahrzeit</t>
  </si>
  <si>
    <t>Höhe Beginn</t>
  </si>
  <si>
    <t>Höhe Ende</t>
  </si>
  <si>
    <t>Max. Höhe</t>
  </si>
  <si>
    <t>Hm aufw</t>
  </si>
  <si>
    <t>Hm abw</t>
  </si>
  <si>
    <t>Gesamtzeit</t>
  </si>
  <si>
    <t>Pausenzeit</t>
  </si>
  <si>
    <t>Max.Temp.</t>
  </si>
  <si>
    <t xml:space="preserve">Min.Temp. </t>
  </si>
  <si>
    <t>Ø Steigung</t>
  </si>
  <si>
    <t>max.Steigung</t>
  </si>
  <si>
    <t>Ø Gefälle</t>
  </si>
  <si>
    <t>max.Gefälle</t>
  </si>
  <si>
    <t>km</t>
  </si>
  <si>
    <t>km/Tag</t>
  </si>
  <si>
    <t>km/Fahrtag</t>
  </si>
  <si>
    <t>max. km/h</t>
  </si>
  <si>
    <t>Σ km</t>
  </si>
  <si>
    <t>Σ Hm aufw</t>
  </si>
  <si>
    <t>Δ Temp.</t>
  </si>
  <si>
    <t>Σ Hm abw</t>
  </si>
  <si>
    <t>Δ Hmauf-abw</t>
  </si>
  <si>
    <t>Δ Beg./Ende</t>
  </si>
  <si>
    <t>Σ Fahrzeit</t>
  </si>
  <si>
    <t>Σ Gesamtzeit</t>
  </si>
  <si>
    <t>Σ Pausenzeit</t>
  </si>
  <si>
    <t>12.</t>
  </si>
  <si>
    <t>13.</t>
  </si>
  <si>
    <t>14.</t>
  </si>
  <si>
    <t>15.</t>
  </si>
  <si>
    <t>km/h brutto</t>
  </si>
  <si>
    <t>km/h netto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</si>
  <si>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</si>
  <si>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</si>
  <si>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</si>
  <si>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</si>
  <si>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</si>
  <si>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</si>
  <si>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</si>
  <si>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</si>
  <si>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</si>
  <si>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Bischkek</t>
  </si>
  <si>
    <t>Tokmok - Kemin</t>
  </si>
  <si>
    <t>Chuyskoe</t>
  </si>
  <si>
    <t>Boom-Schlucht - Kubaki-Pass (2160 m)</t>
  </si>
  <si>
    <t>Kotschkor</t>
  </si>
  <si>
    <t>Sary Bulak - Keng-Suu</t>
  </si>
  <si>
    <t>Tölök-Tal</t>
  </si>
  <si>
    <t>Kalmak-Ashu-Pass (3445 m)</t>
  </si>
  <si>
    <t>Song Köl</t>
  </si>
  <si>
    <t>Terskei-Torpok-Pass (3133 m)</t>
  </si>
  <si>
    <t>Song-Köl-Tal</t>
  </si>
  <si>
    <t>Korgo-Pass (3013 m) - Kara-Unkur</t>
  </si>
  <si>
    <t>Kichi-Kara-Kudzhur-Tal</t>
  </si>
  <si>
    <t>Pass (3200 m) - Ter-Suu-Tal</t>
  </si>
  <si>
    <t>Solton-Sary-Tal</t>
  </si>
  <si>
    <t>Chamaldilga-Pass (3414 m) - Zher-Kochku - Kara-Kudzhur-Tal</t>
  </si>
  <si>
    <t>Kongurlen-Tal</t>
  </si>
  <si>
    <t>Kongurlen-Pass (3786/3864 m)</t>
  </si>
  <si>
    <t>Kara-Kudzhur-Tal - Ak-Kyja - Sary Bulak</t>
  </si>
  <si>
    <t>Balykchy</t>
  </si>
  <si>
    <t>Tamchy</t>
  </si>
  <si>
    <t>Taxi Tamchy - Bischkek</t>
  </si>
  <si>
    <t>Grenze Kirgistan/Kasachstan - Kordai-Pass (1233 m)</t>
  </si>
  <si>
    <t>Akterek</t>
  </si>
  <si>
    <t>Almaty</t>
  </si>
  <si>
    <t>Kirgisien - Almaty (27.6.-11.7.2013)</t>
  </si>
  <si>
    <r>
      <t>Statistik</t>
    </r>
    <r>
      <rPr>
        <b/>
        <sz val="20"/>
        <rFont val="Arial"/>
        <family val="2"/>
      </rPr>
      <t xml:space="preserve"> Kirgisien - Almaty (27.6.-11.7.2013)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</si>
</sst>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[h]:mm"/>
    <numFmt numFmtId="180" formatCode="0.0"/>
  </numFmts>
  <fonts count="10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9"/>
      <name val="WP CyrillicA"/>
    </font>
    <font>
      <i/>
      <sz val="10"/>
      <name val="Arial"/>
      <family val="2"/>
    </font>
    <font>
      <b/>
      <i/>
      <sz val="2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right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0" fillId="0" borderId="0" xfId="0" applyBorder="1"/>
    <xf numFmtId="21" fontId="5" fillId="0" borderId="0" xfId="0" applyNumberFormat="1" applyFont="1" applyBorder="1" applyAlignment="1">
      <alignment vertical="top" wrapText="1"/>
    </xf>
    <xf numFmtId="0" fontId="0" fillId="0" borderId="2" xfId="0" applyBorder="1"/>
    <xf numFmtId="0" fontId="0" fillId="0" borderId="3" xfId="0" applyBorder="1"/>
    <xf numFmtId="0" fontId="8" fillId="0" borderId="3" xfId="0" applyFont="1" applyBorder="1"/>
    <xf numFmtId="0" fontId="8" fillId="0" borderId="4" xfId="0" applyFont="1" applyBorder="1"/>
    <xf numFmtId="0" fontId="0" fillId="0" borderId="5" xfId="0" applyBorder="1"/>
    <xf numFmtId="0" fontId="8" fillId="0" borderId="0" xfId="0" applyFont="1" applyBorder="1"/>
    <xf numFmtId="0" fontId="8" fillId="0" borderId="6" xfId="0" applyFont="1" applyBorder="1"/>
    <xf numFmtId="177" fontId="8" fillId="0" borderId="3" xfId="0" applyNumberFormat="1" applyFont="1" applyBorder="1"/>
    <xf numFmtId="177" fontId="8" fillId="0" borderId="0" xfId="0" applyNumberFormat="1" applyFont="1" applyBorder="1"/>
    <xf numFmtId="0" fontId="1" fillId="0" borderId="1" xfId="0" applyFont="1" applyBorder="1"/>
    <xf numFmtId="177" fontId="1" fillId="0" borderId="1" xfId="0" applyNumberFormat="1" applyFont="1" applyBorder="1"/>
    <xf numFmtId="0" fontId="1" fillId="0" borderId="1" xfId="0" applyFont="1" applyFill="1" applyBorder="1"/>
    <xf numFmtId="0" fontId="2" fillId="0" borderId="1" xfId="0" applyFont="1" applyBorder="1" applyAlignment="1">
      <alignment textRotation="90"/>
    </xf>
    <xf numFmtId="0" fontId="2" fillId="0" borderId="1" xfId="0" applyFont="1" applyFill="1" applyBorder="1" applyAlignment="1">
      <alignment textRotation="90"/>
    </xf>
    <xf numFmtId="0" fontId="2" fillId="0" borderId="1" xfId="0" applyFont="1" applyBorder="1" applyAlignment="1">
      <alignment textRotation="90" wrapText="1"/>
    </xf>
    <xf numFmtId="0" fontId="2" fillId="0" borderId="1" xfId="0" applyFont="1" applyFill="1" applyBorder="1" applyAlignment="1">
      <alignment textRotation="90" wrapText="1"/>
    </xf>
    <xf numFmtId="0" fontId="0" fillId="0" borderId="0" xfId="0" applyFill="1" applyBorder="1"/>
    <xf numFmtId="0" fontId="8" fillId="0" borderId="0" xfId="0" applyFont="1" applyFill="1" applyBorder="1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Border="1"/>
    <xf numFmtId="180" fontId="0" fillId="0" borderId="3" xfId="0" applyNumberFormat="1" applyBorder="1"/>
    <xf numFmtId="180" fontId="0" fillId="0" borderId="0" xfId="0" applyNumberFormat="1" applyBorder="1"/>
    <xf numFmtId="180" fontId="0" fillId="0" borderId="0" xfId="0" applyNumberFormat="1" applyFill="1" applyBorder="1"/>
    <xf numFmtId="1" fontId="1" fillId="0" borderId="1" xfId="0" applyNumberFormat="1" applyFont="1" applyFill="1" applyBorder="1"/>
    <xf numFmtId="180" fontId="1" fillId="0" borderId="1" xfId="0" applyNumberFormat="1" applyFont="1" applyBorder="1"/>
    <xf numFmtId="177" fontId="0" fillId="0" borderId="3" xfId="0" applyNumberFormat="1" applyBorder="1"/>
    <xf numFmtId="177" fontId="0" fillId="0" borderId="0" xfId="0" applyNumberFormat="1" applyBorder="1"/>
    <xf numFmtId="180" fontId="1" fillId="0" borderId="0" xfId="0" applyNumberFormat="1" applyFont="1" applyBorder="1"/>
    <xf numFmtId="1" fontId="0" fillId="0" borderId="0" xfId="0" applyNumberFormat="1"/>
    <xf numFmtId="180" fontId="4" fillId="0" borderId="1" xfId="0" applyNumberFormat="1" applyFont="1" applyFill="1" applyBorder="1"/>
    <xf numFmtId="180" fontId="8" fillId="0" borderId="0" xfId="0" applyNumberFormat="1" applyFont="1" applyBorder="1"/>
    <xf numFmtId="0" fontId="0" fillId="0" borderId="1" xfId="0" applyBorder="1" applyAlignment="1">
      <alignment horizontal="center" vertical="top" wrapText="1"/>
    </xf>
    <xf numFmtId="180" fontId="1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4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3" fillId="0" borderId="7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0" fillId="0" borderId="8" xfId="0" applyBorder="1" applyAlignment="1"/>
    <xf numFmtId="0" fontId="9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1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65001-E0C5-4E9E-B02A-1E82F209D174}">
  <sheetPr codeName="Tabelle1"/>
  <dimension ref="A1:AH25"/>
  <sheetViews>
    <sheetView tabSelected="1" zoomScaleNormal="100" workbookViewId="0">
      <selection sqref="A1:F1"/>
    </sheetView>
  </sheetViews>
  <sheetFormatPr baseColWidth="10" defaultRowHeight="12.5"/>
  <cols>
    <col min="1" max="1" width="11.26953125" customWidth="1"/>
    <col min="2" max="2" width="15.26953125" customWidth="1"/>
    <col min="3" max="3" width="23.81640625" customWidth="1"/>
    <col min="4" max="4" width="60.26953125" customWidth="1"/>
    <col min="5" max="5" width="24.453125" customWidth="1"/>
    <col min="6" max="7" width="6.453125" customWidth="1"/>
    <col min="8" max="8" width="4.26953125" customWidth="1"/>
    <col min="9" max="9" width="3.7265625" customWidth="1"/>
    <col min="10" max="10" width="6.26953125" customWidth="1"/>
    <col min="11" max="11" width="6.54296875" customWidth="1"/>
    <col min="12" max="12" width="5.54296875" customWidth="1"/>
    <col min="13" max="13" width="5.453125" customWidth="1"/>
    <col min="14" max="14" width="6.54296875" customWidth="1"/>
    <col min="15" max="16" width="6.7265625" customWidth="1"/>
    <col min="17" max="17" width="6.54296875" customWidth="1"/>
    <col min="18" max="18" width="7.1796875" customWidth="1"/>
    <col min="19" max="20" width="6.1796875" customWidth="1"/>
    <col min="21" max="21" width="5.54296875" customWidth="1"/>
    <col min="22" max="22" width="4.81640625" customWidth="1"/>
    <col min="23" max="23" width="6.26953125" customWidth="1"/>
    <col min="24" max="24" width="5.81640625" customWidth="1"/>
    <col min="25" max="25" width="6.1796875" customWidth="1"/>
    <col min="26" max="26" width="5.7265625" customWidth="1"/>
    <col min="27" max="27" width="6.453125" customWidth="1"/>
    <col min="28" max="28" width="2.81640625" customWidth="1"/>
    <col min="29" max="29" width="4" customWidth="1"/>
    <col min="30" max="30" width="3.453125" customWidth="1"/>
    <col min="31" max="31" width="3.26953125" customWidth="1"/>
    <col min="32" max="33" width="3.1796875" customWidth="1"/>
    <col min="34" max="34" width="3.54296875" customWidth="1"/>
  </cols>
  <sheetData>
    <row r="1" spans="1:34" ht="26.25" customHeight="1">
      <c r="A1" s="50" t="s">
        <v>75</v>
      </c>
      <c r="B1" s="51"/>
      <c r="C1" s="51"/>
      <c r="D1" s="51"/>
      <c r="E1" s="51"/>
      <c r="F1" s="52"/>
      <c r="G1" s="54" t="s">
        <v>76</v>
      </c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6"/>
    </row>
    <row r="2" spans="1:34">
      <c r="A2" s="53"/>
      <c r="B2" s="53"/>
      <c r="C2" s="53"/>
      <c r="D2" s="53"/>
      <c r="E2" s="53"/>
      <c r="F2" s="53"/>
      <c r="G2" s="6"/>
      <c r="H2" s="7"/>
      <c r="I2" s="7"/>
      <c r="J2" s="7"/>
      <c r="K2" s="7"/>
      <c r="L2" s="7"/>
      <c r="M2" s="7"/>
      <c r="N2" s="6"/>
      <c r="O2" s="6"/>
      <c r="P2" s="6"/>
      <c r="Q2" s="6"/>
      <c r="R2" s="11"/>
      <c r="S2" s="6"/>
      <c r="T2" s="6"/>
      <c r="U2" s="8"/>
      <c r="V2" s="8"/>
      <c r="W2" s="8"/>
      <c r="X2" s="9"/>
      <c r="Y2" s="8"/>
      <c r="Z2" s="10"/>
      <c r="AA2" s="10"/>
      <c r="AB2" s="10"/>
      <c r="AC2" s="10"/>
      <c r="AD2" s="10"/>
    </row>
    <row r="3" spans="1:34" ht="72.5">
      <c r="A3" s="1" t="s">
        <v>0</v>
      </c>
      <c r="B3" s="1" t="s">
        <v>1</v>
      </c>
      <c r="C3" s="2" t="s">
        <v>2</v>
      </c>
      <c r="D3" s="1" t="s">
        <v>3</v>
      </c>
      <c r="E3" s="3" t="s">
        <v>4</v>
      </c>
      <c r="F3" s="2" t="s">
        <v>22</v>
      </c>
      <c r="G3" s="24" t="s">
        <v>26</v>
      </c>
      <c r="H3" s="24" t="s">
        <v>23</v>
      </c>
      <c r="I3" s="24" t="s">
        <v>24</v>
      </c>
      <c r="J3" s="24" t="s">
        <v>8</v>
      </c>
      <c r="K3" s="25" t="s">
        <v>32</v>
      </c>
      <c r="L3" s="24" t="s">
        <v>40</v>
      </c>
      <c r="M3" s="24" t="s">
        <v>25</v>
      </c>
      <c r="N3" s="24" t="s">
        <v>14</v>
      </c>
      <c r="O3" s="25" t="s">
        <v>33</v>
      </c>
      <c r="P3" s="24" t="s">
        <v>39</v>
      </c>
      <c r="Q3" s="24" t="s">
        <v>15</v>
      </c>
      <c r="R3" s="25" t="s">
        <v>34</v>
      </c>
      <c r="S3" s="24" t="s">
        <v>9</v>
      </c>
      <c r="T3" s="24" t="s">
        <v>10</v>
      </c>
      <c r="U3" s="24" t="s">
        <v>31</v>
      </c>
      <c r="V3" s="24" t="s">
        <v>12</v>
      </c>
      <c r="W3" s="25" t="s">
        <v>27</v>
      </c>
      <c r="X3" s="24" t="s">
        <v>13</v>
      </c>
      <c r="Y3" s="25" t="s">
        <v>29</v>
      </c>
      <c r="Z3" s="25" t="s">
        <v>30</v>
      </c>
      <c r="AA3" s="24" t="s">
        <v>11</v>
      </c>
      <c r="AB3" s="26" t="s">
        <v>18</v>
      </c>
      <c r="AC3" s="26" t="s">
        <v>19</v>
      </c>
      <c r="AD3" s="26" t="s">
        <v>20</v>
      </c>
      <c r="AE3" s="26" t="s">
        <v>21</v>
      </c>
      <c r="AF3" s="27" t="s">
        <v>17</v>
      </c>
      <c r="AG3" s="27" t="s">
        <v>16</v>
      </c>
      <c r="AH3" s="27" t="s">
        <v>28</v>
      </c>
    </row>
    <row r="4" spans="1:34" ht="13">
      <c r="A4" s="44" t="s">
        <v>41</v>
      </c>
      <c r="B4" s="48">
        <v>41452</v>
      </c>
      <c r="C4" s="5" t="s">
        <v>50</v>
      </c>
      <c r="D4" s="46" t="s">
        <v>51</v>
      </c>
      <c r="E4" s="4" t="s">
        <v>52</v>
      </c>
      <c r="F4" s="5">
        <v>106</v>
      </c>
      <c r="G4" s="12">
        <f>SUM(F4)</f>
        <v>106</v>
      </c>
      <c r="H4" s="13">
        <f>ROUND(PRODUCT(G4/1),0)</f>
        <v>106</v>
      </c>
      <c r="I4" s="13">
        <f>ROUND(PRODUCT(G4/COUNT(F4:F4)),0)</f>
        <v>106</v>
      </c>
      <c r="J4" s="38">
        <v>0.25</v>
      </c>
      <c r="K4" s="19">
        <f>SUM(J4)</f>
        <v>0.25</v>
      </c>
      <c r="L4" s="43">
        <f t="shared" ref="L4:L18" si="0">IF(F4=0,0,ROUND(PRODUCT(F4/SUM(HOUR(J4),PRODUCT(MINUTE(J4)/60))),1))</f>
        <v>17.7</v>
      </c>
      <c r="M4" s="33">
        <v>25</v>
      </c>
      <c r="N4" s="38">
        <v>0.42708333333333331</v>
      </c>
      <c r="O4" s="19">
        <f>SUM(N4)</f>
        <v>0.42708333333333331</v>
      </c>
      <c r="P4" s="43">
        <f t="shared" ref="P4:P18" si="1">IF(F4=0,0,ROUND(PRODUCT(F4/SUM(HOUR(N4),PRODUCT(MINUTE(N4)/60))),1))</f>
        <v>10.3</v>
      </c>
      <c r="Q4" s="19">
        <f t="shared" ref="Q4:Q18" si="2">SUM(N4,-J4)</f>
        <v>0.17708333333333331</v>
      </c>
      <c r="R4" s="19">
        <f>SUM(Q4)</f>
        <v>0.17708333333333331</v>
      </c>
      <c r="S4" s="13">
        <v>750</v>
      </c>
      <c r="T4" s="10">
        <v>1122</v>
      </c>
      <c r="U4" s="14">
        <f>SUM(-S4,T4)</f>
        <v>372</v>
      </c>
      <c r="V4" s="13">
        <v>488</v>
      </c>
      <c r="W4" s="14">
        <f>SUM(V4)</f>
        <v>488</v>
      </c>
      <c r="X4" s="13">
        <f t="shared" ref="X4:X18" si="3">SUM(S4,-T4,V4)</f>
        <v>116</v>
      </c>
      <c r="Y4" s="14">
        <f>SUM(X4)</f>
        <v>116</v>
      </c>
      <c r="Z4" s="14">
        <f t="shared" ref="Z4:Z18" si="4">SUM(V4,-X4)</f>
        <v>372</v>
      </c>
      <c r="AA4" s="13">
        <v>1141</v>
      </c>
      <c r="AB4" s="13">
        <v>1</v>
      </c>
      <c r="AC4" s="13">
        <v>8</v>
      </c>
      <c r="AD4" s="13"/>
      <c r="AE4" s="13"/>
      <c r="AF4" s="13">
        <v>22</v>
      </c>
      <c r="AG4" s="13">
        <v>38</v>
      </c>
      <c r="AH4" s="15">
        <f>SUM(AG4,-AF4)</f>
        <v>16</v>
      </c>
    </row>
    <row r="5" spans="1:34" ht="13">
      <c r="A5" s="44" t="s">
        <v>42</v>
      </c>
      <c r="B5" s="48">
        <v>41453</v>
      </c>
      <c r="C5" s="5" t="s">
        <v>52</v>
      </c>
      <c r="D5" s="46" t="s">
        <v>53</v>
      </c>
      <c r="E5" s="4" t="s">
        <v>54</v>
      </c>
      <c r="F5" s="5">
        <v>86</v>
      </c>
      <c r="G5" s="16">
        <f>SUM(G4,F5)</f>
        <v>192</v>
      </c>
      <c r="H5" s="10">
        <f>ROUND(PRODUCT(G5/2),0)</f>
        <v>96</v>
      </c>
      <c r="I5" s="10">
        <f>ROUND(PRODUCT(G5/COUNT(F4:F5)),0)</f>
        <v>96</v>
      </c>
      <c r="J5" s="38">
        <v>0.25</v>
      </c>
      <c r="K5" s="20">
        <f t="shared" ref="K5:K18" si="5">SUM(J5,K4)</f>
        <v>0.5</v>
      </c>
      <c r="L5" s="43">
        <f t="shared" si="0"/>
        <v>14.3</v>
      </c>
      <c r="M5" s="34">
        <v>78.5</v>
      </c>
      <c r="N5" s="39">
        <v>0.34722222222222227</v>
      </c>
      <c r="O5" s="20">
        <f t="shared" ref="O5:O18" si="6">SUM(N5,O4)</f>
        <v>0.77430555555555558</v>
      </c>
      <c r="P5" s="43">
        <f t="shared" si="1"/>
        <v>10.3</v>
      </c>
      <c r="Q5" s="20">
        <f t="shared" si="2"/>
        <v>9.7222222222222265E-2</v>
      </c>
      <c r="R5" s="20">
        <f>SUM(Q5,R4)</f>
        <v>0.27430555555555558</v>
      </c>
      <c r="S5" s="10">
        <v>1122</v>
      </c>
      <c r="T5" s="10">
        <v>1800</v>
      </c>
      <c r="U5" s="17">
        <f>SUM(-S5,T5)</f>
        <v>678</v>
      </c>
      <c r="V5" s="28">
        <v>1143</v>
      </c>
      <c r="W5" s="17">
        <f t="shared" ref="W5:W18" si="7">SUM(W4,V5)</f>
        <v>1631</v>
      </c>
      <c r="X5" s="10">
        <f t="shared" si="3"/>
        <v>465</v>
      </c>
      <c r="Y5" s="17">
        <f>SUM(Y4,X5)</f>
        <v>581</v>
      </c>
      <c r="Z5" s="17">
        <f t="shared" si="4"/>
        <v>678</v>
      </c>
      <c r="AA5" s="10">
        <v>2160</v>
      </c>
      <c r="AB5" s="10">
        <v>3</v>
      </c>
      <c r="AC5" s="29">
        <v>13</v>
      </c>
      <c r="AD5" s="28"/>
      <c r="AE5" s="29"/>
      <c r="AF5" s="29">
        <v>15</v>
      </c>
      <c r="AG5" s="29">
        <v>32</v>
      </c>
      <c r="AH5" s="18">
        <f>SUM(AG5,-AF5)</f>
        <v>17</v>
      </c>
    </row>
    <row r="6" spans="1:34" ht="13">
      <c r="A6" s="44" t="s">
        <v>43</v>
      </c>
      <c r="B6" s="48">
        <v>41454</v>
      </c>
      <c r="C6" s="5" t="s">
        <v>54</v>
      </c>
      <c r="D6" s="46" t="s">
        <v>55</v>
      </c>
      <c r="E6" s="4" t="s">
        <v>56</v>
      </c>
      <c r="F6" s="5">
        <v>64</v>
      </c>
      <c r="G6" s="16">
        <f t="shared" ref="G6:G18" si="8">SUM(G5,F6)</f>
        <v>256</v>
      </c>
      <c r="H6" s="10">
        <f>ROUND(PRODUCT(G6/3),0)</f>
        <v>85</v>
      </c>
      <c r="I6" s="10">
        <f>ROUND(PRODUCT(G6/COUNT(F4:F6)),0)</f>
        <v>85</v>
      </c>
      <c r="J6" s="39">
        <v>0.24513888888888888</v>
      </c>
      <c r="K6" s="20">
        <f t="shared" si="5"/>
        <v>0.74513888888888891</v>
      </c>
      <c r="L6" s="43">
        <f t="shared" si="0"/>
        <v>10.9</v>
      </c>
      <c r="M6" s="34">
        <v>33.5</v>
      </c>
      <c r="N6" s="39">
        <v>0.39583333333333331</v>
      </c>
      <c r="O6" s="20">
        <f t="shared" si="6"/>
        <v>1.1701388888888888</v>
      </c>
      <c r="P6" s="43">
        <f t="shared" si="1"/>
        <v>6.7</v>
      </c>
      <c r="Q6" s="20">
        <f t="shared" si="2"/>
        <v>0.15069444444444444</v>
      </c>
      <c r="R6" s="20">
        <f t="shared" ref="R6:R18" si="9">SUM(Q6,R5)</f>
        <v>0.42500000000000004</v>
      </c>
      <c r="S6" s="10">
        <v>1800</v>
      </c>
      <c r="T6" s="28">
        <v>2520</v>
      </c>
      <c r="U6" s="17">
        <f t="shared" ref="U6:U18" si="10">SUM(-S6,T6)</f>
        <v>720</v>
      </c>
      <c r="V6" s="28">
        <v>1021</v>
      </c>
      <c r="W6" s="17">
        <f t="shared" si="7"/>
        <v>2652</v>
      </c>
      <c r="X6" s="10">
        <f t="shared" si="3"/>
        <v>301</v>
      </c>
      <c r="Y6" s="17">
        <f t="shared" ref="Y6:Y18" si="11">SUM(Y5,X6)</f>
        <v>882</v>
      </c>
      <c r="Z6" s="17">
        <f t="shared" si="4"/>
        <v>720</v>
      </c>
      <c r="AA6" s="10">
        <v>2505</v>
      </c>
      <c r="AB6" s="10">
        <v>3</v>
      </c>
      <c r="AC6" s="29">
        <v>13</v>
      </c>
      <c r="AD6" s="28"/>
      <c r="AE6" s="29"/>
      <c r="AF6" s="29">
        <v>15</v>
      </c>
      <c r="AG6" s="29">
        <v>25</v>
      </c>
      <c r="AH6" s="18">
        <f t="shared" ref="AH6:AH18" si="12">SUM(AG6,-AF6)</f>
        <v>10</v>
      </c>
    </row>
    <row r="7" spans="1:34" ht="13">
      <c r="A7" s="44" t="s">
        <v>44</v>
      </c>
      <c r="B7" s="48">
        <v>41455</v>
      </c>
      <c r="C7" s="5" t="s">
        <v>56</v>
      </c>
      <c r="D7" s="46" t="s">
        <v>57</v>
      </c>
      <c r="E7" s="4" t="s">
        <v>58</v>
      </c>
      <c r="F7" s="5">
        <v>52</v>
      </c>
      <c r="G7" s="16">
        <f t="shared" si="8"/>
        <v>308</v>
      </c>
      <c r="H7" s="10">
        <f>ROUND(PRODUCT(G7/4),0)</f>
        <v>77</v>
      </c>
      <c r="I7" s="10">
        <f>ROUND(PRODUCT(G7/COUNT(F4:F7)),0)</f>
        <v>77</v>
      </c>
      <c r="J7" s="39">
        <v>0.24513888888888888</v>
      </c>
      <c r="K7" s="20">
        <f t="shared" si="5"/>
        <v>0.99027777777777781</v>
      </c>
      <c r="L7" s="43">
        <f t="shared" si="0"/>
        <v>8.8000000000000007</v>
      </c>
      <c r="M7" s="35">
        <v>34.5</v>
      </c>
      <c r="N7" s="39">
        <v>0.38124999999999998</v>
      </c>
      <c r="O7" s="20">
        <f t="shared" si="6"/>
        <v>1.5513888888888889</v>
      </c>
      <c r="P7" s="43">
        <f t="shared" si="1"/>
        <v>5.7</v>
      </c>
      <c r="Q7" s="20">
        <f t="shared" si="2"/>
        <v>0.1361111111111111</v>
      </c>
      <c r="R7" s="20">
        <f t="shared" si="9"/>
        <v>0.56111111111111112</v>
      </c>
      <c r="S7" s="28">
        <v>2520</v>
      </c>
      <c r="T7" s="28">
        <v>3030</v>
      </c>
      <c r="U7" s="17">
        <f t="shared" si="10"/>
        <v>510</v>
      </c>
      <c r="V7" s="47">
        <v>1080</v>
      </c>
      <c r="W7" s="17">
        <f t="shared" si="7"/>
        <v>3732</v>
      </c>
      <c r="X7" s="10">
        <f t="shared" si="3"/>
        <v>570</v>
      </c>
      <c r="Y7" s="17">
        <f t="shared" si="11"/>
        <v>1452</v>
      </c>
      <c r="Z7" s="17">
        <f t="shared" si="4"/>
        <v>510</v>
      </c>
      <c r="AA7" s="28">
        <v>3445</v>
      </c>
      <c r="AB7" s="28">
        <v>5</v>
      </c>
      <c r="AC7" s="29">
        <v>18</v>
      </c>
      <c r="AD7" s="28"/>
      <c r="AE7" s="29"/>
      <c r="AF7" s="29">
        <v>2</v>
      </c>
      <c r="AG7" s="29">
        <v>23</v>
      </c>
      <c r="AH7" s="18">
        <f t="shared" si="12"/>
        <v>21</v>
      </c>
    </row>
    <row r="8" spans="1:34" ht="13">
      <c r="A8" s="44" t="s">
        <v>45</v>
      </c>
      <c r="B8" s="48">
        <v>41456</v>
      </c>
      <c r="C8" s="5" t="s">
        <v>58</v>
      </c>
      <c r="D8" s="46" t="s">
        <v>59</v>
      </c>
      <c r="E8" s="4" t="s">
        <v>60</v>
      </c>
      <c r="F8" s="5">
        <v>34</v>
      </c>
      <c r="G8" s="16">
        <f t="shared" si="8"/>
        <v>342</v>
      </c>
      <c r="H8" s="10">
        <f>ROUND(PRODUCT(G8/5),0)</f>
        <v>68</v>
      </c>
      <c r="I8" s="10">
        <f>ROUND(PRODUCT(G8/COUNT(F4:F8)),0)</f>
        <v>68</v>
      </c>
      <c r="J8" s="39">
        <v>0.11597222222222221</v>
      </c>
      <c r="K8" s="20">
        <f t="shared" si="5"/>
        <v>1.10625</v>
      </c>
      <c r="L8" s="43">
        <f t="shared" si="0"/>
        <v>12.2</v>
      </c>
      <c r="M8" s="35">
        <v>44</v>
      </c>
      <c r="N8" s="39">
        <v>0.22916666666666666</v>
      </c>
      <c r="O8" s="20">
        <f t="shared" si="6"/>
        <v>1.7805555555555557</v>
      </c>
      <c r="P8" s="43">
        <f t="shared" si="1"/>
        <v>6.2</v>
      </c>
      <c r="Q8" s="20">
        <f t="shared" si="2"/>
        <v>0.11319444444444444</v>
      </c>
      <c r="R8" s="20">
        <f t="shared" si="9"/>
        <v>0.6743055555555556</v>
      </c>
      <c r="S8" s="28">
        <v>3030</v>
      </c>
      <c r="T8" s="28">
        <v>2500</v>
      </c>
      <c r="U8" s="17">
        <f t="shared" si="10"/>
        <v>-530</v>
      </c>
      <c r="V8" s="28">
        <v>282</v>
      </c>
      <c r="W8" s="17">
        <f t="shared" si="7"/>
        <v>4014</v>
      </c>
      <c r="X8" s="10">
        <f t="shared" si="3"/>
        <v>812</v>
      </c>
      <c r="Y8" s="17">
        <f t="shared" si="11"/>
        <v>2264</v>
      </c>
      <c r="Z8" s="17">
        <f t="shared" si="4"/>
        <v>-530</v>
      </c>
      <c r="AA8" s="28">
        <v>3133</v>
      </c>
      <c r="AB8" s="28">
        <v>5</v>
      </c>
      <c r="AC8" s="29">
        <v>19</v>
      </c>
      <c r="AD8" s="28"/>
      <c r="AE8" s="29"/>
      <c r="AF8" s="29">
        <v>8</v>
      </c>
      <c r="AG8" s="29">
        <v>21</v>
      </c>
      <c r="AH8" s="18">
        <f t="shared" si="12"/>
        <v>13</v>
      </c>
    </row>
    <row r="9" spans="1:34" ht="13">
      <c r="A9" s="44" t="s">
        <v>46</v>
      </c>
      <c r="B9" s="48">
        <v>41457</v>
      </c>
      <c r="C9" s="5" t="s">
        <v>60</v>
      </c>
      <c r="D9" s="46" t="s">
        <v>61</v>
      </c>
      <c r="E9" s="4" t="s">
        <v>62</v>
      </c>
      <c r="F9" s="5">
        <v>46</v>
      </c>
      <c r="G9" s="16">
        <f t="shared" si="8"/>
        <v>388</v>
      </c>
      <c r="H9" s="10">
        <f>ROUND(PRODUCT(G9/6),0)</f>
        <v>65</v>
      </c>
      <c r="I9" s="10">
        <f>ROUND(PRODUCT(G9/COUNT(F4:F9)),0)</f>
        <v>65</v>
      </c>
      <c r="J9" s="39">
        <v>0.1875</v>
      </c>
      <c r="K9" s="20">
        <f t="shared" si="5"/>
        <v>1.29375</v>
      </c>
      <c r="L9" s="43">
        <f t="shared" si="0"/>
        <v>10.199999999999999</v>
      </c>
      <c r="M9" s="35">
        <v>47</v>
      </c>
      <c r="N9" s="39">
        <v>0.34375</v>
      </c>
      <c r="O9" s="20">
        <f t="shared" si="6"/>
        <v>2.1243055555555559</v>
      </c>
      <c r="P9" s="43">
        <f t="shared" si="1"/>
        <v>5.6</v>
      </c>
      <c r="Q9" s="20">
        <f t="shared" si="2"/>
        <v>0.15625</v>
      </c>
      <c r="R9" s="20">
        <f t="shared" si="9"/>
        <v>0.8305555555555556</v>
      </c>
      <c r="S9" s="28">
        <v>2500</v>
      </c>
      <c r="T9" s="28">
        <v>2900</v>
      </c>
      <c r="U9" s="17">
        <f t="shared" si="10"/>
        <v>400</v>
      </c>
      <c r="V9" s="28">
        <v>1015</v>
      </c>
      <c r="W9" s="17">
        <f t="shared" si="7"/>
        <v>5029</v>
      </c>
      <c r="X9" s="10">
        <f t="shared" si="3"/>
        <v>615</v>
      </c>
      <c r="Y9" s="17">
        <f t="shared" si="11"/>
        <v>2879</v>
      </c>
      <c r="Z9" s="17">
        <f t="shared" si="4"/>
        <v>400</v>
      </c>
      <c r="AA9" s="28">
        <v>3013</v>
      </c>
      <c r="AB9" s="28">
        <v>4</v>
      </c>
      <c r="AC9" s="29">
        <v>20</v>
      </c>
      <c r="AD9" s="28"/>
      <c r="AE9" s="29"/>
      <c r="AF9" s="29">
        <v>10</v>
      </c>
      <c r="AG9" s="29">
        <v>34</v>
      </c>
      <c r="AH9" s="18">
        <f t="shared" si="12"/>
        <v>24</v>
      </c>
    </row>
    <row r="10" spans="1:34" ht="13">
      <c r="A10" s="44" t="s">
        <v>47</v>
      </c>
      <c r="B10" s="48">
        <v>41458</v>
      </c>
      <c r="C10" s="5" t="s">
        <v>62</v>
      </c>
      <c r="D10" s="46" t="s">
        <v>63</v>
      </c>
      <c r="E10" s="4" t="s">
        <v>64</v>
      </c>
      <c r="F10" s="5">
        <v>44</v>
      </c>
      <c r="G10" s="16">
        <f t="shared" si="8"/>
        <v>432</v>
      </c>
      <c r="H10" s="10">
        <f>ROUND(PRODUCT(G10/7),0)</f>
        <v>62</v>
      </c>
      <c r="I10" s="10">
        <f>ROUND(PRODUCT(G10/COUNT(F4:F10)),0)</f>
        <v>62</v>
      </c>
      <c r="J10" s="39">
        <v>0.16041666666666668</v>
      </c>
      <c r="K10" s="20">
        <f t="shared" si="5"/>
        <v>1.4541666666666666</v>
      </c>
      <c r="L10" s="43">
        <f t="shared" si="0"/>
        <v>11.4</v>
      </c>
      <c r="M10" s="34">
        <v>47.5</v>
      </c>
      <c r="N10" s="39">
        <v>0.29166666666666669</v>
      </c>
      <c r="O10" s="20">
        <f t="shared" si="6"/>
        <v>2.4159722222222224</v>
      </c>
      <c r="P10" s="43">
        <f t="shared" si="1"/>
        <v>6.3</v>
      </c>
      <c r="Q10" s="20">
        <f t="shared" si="2"/>
        <v>0.13125000000000001</v>
      </c>
      <c r="R10" s="20">
        <f t="shared" si="9"/>
        <v>0.96180555555555558</v>
      </c>
      <c r="S10" s="28">
        <v>2900</v>
      </c>
      <c r="T10" s="28">
        <v>3070</v>
      </c>
      <c r="U10" s="17">
        <f t="shared" si="10"/>
        <v>170</v>
      </c>
      <c r="V10" s="28">
        <v>817</v>
      </c>
      <c r="W10" s="17">
        <f t="shared" si="7"/>
        <v>5846</v>
      </c>
      <c r="X10" s="10">
        <f t="shared" si="3"/>
        <v>647</v>
      </c>
      <c r="Y10" s="17">
        <f t="shared" si="11"/>
        <v>3526</v>
      </c>
      <c r="Z10" s="17">
        <f t="shared" si="4"/>
        <v>170</v>
      </c>
      <c r="AA10" s="28">
        <v>3200</v>
      </c>
      <c r="AB10" s="28">
        <v>4</v>
      </c>
      <c r="AC10" s="29">
        <v>24</v>
      </c>
      <c r="AE10" s="29"/>
      <c r="AF10" s="29">
        <v>17</v>
      </c>
      <c r="AG10" s="29">
        <v>25</v>
      </c>
      <c r="AH10" s="18">
        <f t="shared" si="12"/>
        <v>8</v>
      </c>
    </row>
    <row r="11" spans="1:34" ht="13">
      <c r="A11" s="44" t="s">
        <v>48</v>
      </c>
      <c r="B11" s="48">
        <v>41459</v>
      </c>
      <c r="C11" s="5" t="s">
        <v>64</v>
      </c>
      <c r="D11" s="46" t="s">
        <v>65</v>
      </c>
      <c r="E11" s="4" t="s">
        <v>66</v>
      </c>
      <c r="F11" s="5">
        <v>44</v>
      </c>
      <c r="G11" s="16">
        <f t="shared" si="8"/>
        <v>476</v>
      </c>
      <c r="H11" s="10">
        <f>ROUND(PRODUCT(G11/8),0)</f>
        <v>60</v>
      </c>
      <c r="I11" s="10">
        <f>ROUND(PRODUCT(G11/COUNT(F4:F11)),0)</f>
        <v>60</v>
      </c>
      <c r="J11" s="39">
        <v>0.18888888888888888</v>
      </c>
      <c r="K11" s="20">
        <f t="shared" si="5"/>
        <v>1.6430555555555555</v>
      </c>
      <c r="L11" s="43">
        <f t="shared" si="0"/>
        <v>9.6999999999999993</v>
      </c>
      <c r="M11" s="35">
        <v>37</v>
      </c>
      <c r="N11" s="39">
        <v>0.33333333333333331</v>
      </c>
      <c r="O11" s="20">
        <f t="shared" si="6"/>
        <v>2.7493055555555559</v>
      </c>
      <c r="P11" s="43">
        <f t="shared" si="1"/>
        <v>5.5</v>
      </c>
      <c r="Q11" s="20">
        <f t="shared" si="2"/>
        <v>0.14444444444444443</v>
      </c>
      <c r="R11" s="20">
        <f t="shared" si="9"/>
        <v>1.10625</v>
      </c>
      <c r="S11" s="28">
        <v>3070</v>
      </c>
      <c r="T11" s="28">
        <v>3150</v>
      </c>
      <c r="U11" s="17">
        <f t="shared" si="10"/>
        <v>80</v>
      </c>
      <c r="V11" s="28">
        <v>856</v>
      </c>
      <c r="W11" s="17">
        <f t="shared" si="7"/>
        <v>6702</v>
      </c>
      <c r="X11" s="10">
        <f t="shared" si="3"/>
        <v>776</v>
      </c>
      <c r="Y11" s="17">
        <f t="shared" si="11"/>
        <v>4302</v>
      </c>
      <c r="Z11" s="17">
        <f t="shared" si="4"/>
        <v>80</v>
      </c>
      <c r="AA11" s="28">
        <v>3414</v>
      </c>
      <c r="AB11" s="28">
        <v>4</v>
      </c>
      <c r="AC11" s="29">
        <v>22</v>
      </c>
      <c r="AE11" s="29"/>
      <c r="AF11" s="29">
        <v>18</v>
      </c>
      <c r="AG11" s="29">
        <v>24</v>
      </c>
      <c r="AH11" s="18">
        <f t="shared" si="12"/>
        <v>6</v>
      </c>
    </row>
    <row r="12" spans="1:34" ht="13">
      <c r="A12" s="44" t="s">
        <v>49</v>
      </c>
      <c r="B12" s="48">
        <v>41460</v>
      </c>
      <c r="C12" s="5" t="s">
        <v>66</v>
      </c>
      <c r="D12" s="46" t="s">
        <v>67</v>
      </c>
      <c r="E12" s="4" t="s">
        <v>66</v>
      </c>
      <c r="F12" s="5">
        <v>19</v>
      </c>
      <c r="G12" s="16">
        <f t="shared" si="8"/>
        <v>495</v>
      </c>
      <c r="H12" s="10">
        <f>ROUND(PRODUCT(G12/9),0)</f>
        <v>55</v>
      </c>
      <c r="I12" s="10">
        <f>ROUND(PRODUCT(G12/COUNT(F4:F12)),0)</f>
        <v>55</v>
      </c>
      <c r="J12" s="39">
        <v>0.17777777777777778</v>
      </c>
      <c r="K12" s="20">
        <f t="shared" si="5"/>
        <v>1.8208333333333333</v>
      </c>
      <c r="L12" s="43">
        <f t="shared" si="0"/>
        <v>4.5</v>
      </c>
      <c r="M12" s="34">
        <v>17.5</v>
      </c>
      <c r="N12" s="39">
        <v>0.47916666666666669</v>
      </c>
      <c r="O12" s="20">
        <f t="shared" si="6"/>
        <v>3.2284722222222224</v>
      </c>
      <c r="P12" s="43">
        <f t="shared" si="1"/>
        <v>1.7</v>
      </c>
      <c r="Q12" s="20">
        <f t="shared" si="2"/>
        <v>0.30138888888888893</v>
      </c>
      <c r="R12" s="20">
        <f t="shared" si="9"/>
        <v>1.4076388888888889</v>
      </c>
      <c r="S12" s="28">
        <v>3150</v>
      </c>
      <c r="T12" s="28">
        <v>3150</v>
      </c>
      <c r="U12" s="17">
        <f t="shared" si="10"/>
        <v>0</v>
      </c>
      <c r="V12" s="28">
        <v>660</v>
      </c>
      <c r="W12" s="17">
        <f t="shared" si="7"/>
        <v>7362</v>
      </c>
      <c r="X12" s="10">
        <f t="shared" si="3"/>
        <v>660</v>
      </c>
      <c r="Y12" s="17">
        <f t="shared" si="11"/>
        <v>4962</v>
      </c>
      <c r="Z12" s="17">
        <f t="shared" si="4"/>
        <v>0</v>
      </c>
      <c r="AA12" s="28">
        <v>3786</v>
      </c>
      <c r="AB12" s="28">
        <v>7</v>
      </c>
      <c r="AC12" s="29">
        <v>23</v>
      </c>
      <c r="AE12" s="29"/>
      <c r="AF12" s="29">
        <v>4</v>
      </c>
      <c r="AG12" s="29">
        <v>17</v>
      </c>
      <c r="AH12" s="18">
        <f t="shared" si="12"/>
        <v>13</v>
      </c>
    </row>
    <row r="13" spans="1:34" ht="13">
      <c r="A13" s="46" t="s">
        <v>5</v>
      </c>
      <c r="B13" s="48">
        <v>41461</v>
      </c>
      <c r="C13" s="5" t="s">
        <v>66</v>
      </c>
      <c r="D13" s="46" t="s">
        <v>68</v>
      </c>
      <c r="E13" s="4" t="s">
        <v>54</v>
      </c>
      <c r="F13" s="5">
        <v>103</v>
      </c>
      <c r="G13" s="16">
        <f t="shared" si="8"/>
        <v>598</v>
      </c>
      <c r="H13" s="10">
        <f>ROUND(PRODUCT(G13/10),0)</f>
        <v>60</v>
      </c>
      <c r="I13" s="10">
        <f>ROUND(PRODUCT(G13/COUNT(F4:F13)),0)</f>
        <v>60</v>
      </c>
      <c r="J13" s="39">
        <v>0.25277777777777777</v>
      </c>
      <c r="K13" s="20">
        <f t="shared" si="5"/>
        <v>2.0736111111111111</v>
      </c>
      <c r="L13" s="43">
        <f t="shared" si="0"/>
        <v>17</v>
      </c>
      <c r="M13" s="35">
        <v>44.5</v>
      </c>
      <c r="N13" s="39">
        <v>0.375</v>
      </c>
      <c r="O13" s="20">
        <f t="shared" si="6"/>
        <v>3.6034722222222224</v>
      </c>
      <c r="P13" s="43">
        <f t="shared" si="1"/>
        <v>11.4</v>
      </c>
      <c r="Q13" s="20">
        <f t="shared" si="2"/>
        <v>0.12222222222222223</v>
      </c>
      <c r="R13" s="20">
        <f t="shared" si="9"/>
        <v>1.5298611111111111</v>
      </c>
      <c r="S13" s="28">
        <v>3150</v>
      </c>
      <c r="T13" s="28">
        <v>1800</v>
      </c>
      <c r="U13" s="17">
        <f t="shared" si="10"/>
        <v>-1350</v>
      </c>
      <c r="V13" s="28">
        <v>183</v>
      </c>
      <c r="W13" s="17">
        <f t="shared" si="7"/>
        <v>7545</v>
      </c>
      <c r="X13" s="10">
        <f t="shared" si="3"/>
        <v>1533</v>
      </c>
      <c r="Y13" s="17">
        <f t="shared" si="11"/>
        <v>6495</v>
      </c>
      <c r="Z13" s="17">
        <f t="shared" si="4"/>
        <v>-1350</v>
      </c>
      <c r="AA13" s="28">
        <v>3150</v>
      </c>
      <c r="AB13" s="28">
        <v>2</v>
      </c>
      <c r="AC13" s="29">
        <v>7</v>
      </c>
      <c r="AE13" s="29"/>
      <c r="AF13" s="29">
        <v>13</v>
      </c>
      <c r="AG13" s="29">
        <v>25</v>
      </c>
      <c r="AH13" s="18">
        <f t="shared" si="12"/>
        <v>12</v>
      </c>
    </row>
    <row r="14" spans="1:34" ht="13">
      <c r="A14" s="46" t="s">
        <v>7</v>
      </c>
      <c r="B14" s="48">
        <v>41462</v>
      </c>
      <c r="C14" s="5"/>
      <c r="D14" s="46" t="s">
        <v>54</v>
      </c>
      <c r="E14" s="4"/>
      <c r="F14" s="5"/>
      <c r="G14" s="16">
        <f t="shared" si="8"/>
        <v>598</v>
      </c>
      <c r="H14" s="10">
        <f>ROUND(PRODUCT(G14/11),0)</f>
        <v>54</v>
      </c>
      <c r="I14" s="10">
        <f>ROUND(PRODUCT(G14/COUNT(F4:F14)),0)</f>
        <v>60</v>
      </c>
      <c r="J14" s="39"/>
      <c r="K14" s="20">
        <f t="shared" si="5"/>
        <v>2.0736111111111111</v>
      </c>
      <c r="L14" s="43">
        <f t="shared" si="0"/>
        <v>0</v>
      </c>
      <c r="M14" s="35"/>
      <c r="N14" s="39"/>
      <c r="O14" s="20">
        <f t="shared" si="6"/>
        <v>3.6034722222222224</v>
      </c>
      <c r="P14" s="43">
        <f t="shared" si="1"/>
        <v>0</v>
      </c>
      <c r="Q14" s="20">
        <f t="shared" si="2"/>
        <v>0</v>
      </c>
      <c r="R14" s="20">
        <f t="shared" si="9"/>
        <v>1.5298611111111111</v>
      </c>
      <c r="S14" s="28"/>
      <c r="T14" s="28"/>
      <c r="U14" s="17">
        <f t="shared" si="10"/>
        <v>0</v>
      </c>
      <c r="V14" s="28"/>
      <c r="W14" s="17">
        <f t="shared" si="7"/>
        <v>7545</v>
      </c>
      <c r="X14" s="10">
        <f t="shared" si="3"/>
        <v>0</v>
      </c>
      <c r="Y14" s="17">
        <f t="shared" si="11"/>
        <v>6495</v>
      </c>
      <c r="Z14" s="17">
        <f t="shared" si="4"/>
        <v>0</v>
      </c>
      <c r="AA14" s="28"/>
      <c r="AB14" s="28"/>
      <c r="AC14" s="29"/>
      <c r="AE14" s="29"/>
      <c r="AF14" s="28"/>
      <c r="AG14" s="29"/>
      <c r="AH14" s="18">
        <f t="shared" si="12"/>
        <v>0</v>
      </c>
    </row>
    <row r="15" spans="1:34" ht="13">
      <c r="A15" s="46" t="s">
        <v>35</v>
      </c>
      <c r="B15" s="48">
        <v>41463</v>
      </c>
      <c r="C15" s="5" t="s">
        <v>54</v>
      </c>
      <c r="D15" s="46" t="s">
        <v>69</v>
      </c>
      <c r="E15" s="4" t="s">
        <v>70</v>
      </c>
      <c r="F15" s="5">
        <v>107</v>
      </c>
      <c r="G15" s="16">
        <f t="shared" si="8"/>
        <v>705</v>
      </c>
      <c r="H15" s="10">
        <f>ROUND(PRODUCT(G15/12),0)</f>
        <v>59</v>
      </c>
      <c r="I15" s="10">
        <f>ROUND(PRODUCT(G15/COUNT(F4:F15)),0)</f>
        <v>64</v>
      </c>
      <c r="J15" s="39">
        <v>0.23749999999999999</v>
      </c>
      <c r="K15" s="20">
        <f t="shared" si="5"/>
        <v>2.3111111111111109</v>
      </c>
      <c r="L15" s="43">
        <f t="shared" si="0"/>
        <v>18.8</v>
      </c>
      <c r="M15" s="34">
        <v>40</v>
      </c>
      <c r="N15" s="39">
        <v>0.3125</v>
      </c>
      <c r="O15" s="20">
        <f t="shared" si="6"/>
        <v>3.9159722222222224</v>
      </c>
      <c r="P15" s="43">
        <f t="shared" si="1"/>
        <v>14.3</v>
      </c>
      <c r="Q15" s="20">
        <f t="shared" si="2"/>
        <v>7.5000000000000011E-2</v>
      </c>
      <c r="R15" s="20">
        <f t="shared" si="9"/>
        <v>1.6048611111111111</v>
      </c>
      <c r="S15" s="28">
        <v>1800</v>
      </c>
      <c r="T15" s="28">
        <v>1607</v>
      </c>
      <c r="U15" s="17">
        <f t="shared" si="10"/>
        <v>-193</v>
      </c>
      <c r="V15" s="28">
        <v>300</v>
      </c>
      <c r="W15" s="17">
        <f t="shared" si="7"/>
        <v>7845</v>
      </c>
      <c r="X15" s="10">
        <f t="shared" si="3"/>
        <v>493</v>
      </c>
      <c r="Y15" s="17">
        <f t="shared" si="11"/>
        <v>6988</v>
      </c>
      <c r="Z15" s="17">
        <f t="shared" si="4"/>
        <v>-193</v>
      </c>
      <c r="AA15" s="28">
        <v>1822</v>
      </c>
      <c r="AB15" s="28">
        <v>1</v>
      </c>
      <c r="AC15" s="29">
        <v>4</v>
      </c>
      <c r="AE15" s="29"/>
      <c r="AF15" s="29">
        <v>17</v>
      </c>
      <c r="AG15" s="29">
        <v>27</v>
      </c>
      <c r="AH15" s="18">
        <f t="shared" si="12"/>
        <v>10</v>
      </c>
    </row>
    <row r="16" spans="1:34" ht="13">
      <c r="A16" s="46" t="s">
        <v>36</v>
      </c>
      <c r="B16" s="48">
        <v>41464</v>
      </c>
      <c r="C16" s="5"/>
      <c r="D16" s="49" t="s">
        <v>71</v>
      </c>
      <c r="E16" s="4"/>
      <c r="F16" s="5"/>
      <c r="G16" s="16">
        <f t="shared" si="8"/>
        <v>705</v>
      </c>
      <c r="H16" s="10">
        <f>ROUND(PRODUCT(G16/13),0)</f>
        <v>54</v>
      </c>
      <c r="I16" s="10">
        <f>ROUND(PRODUCT(G16/COUNT(F4:F16)),0)</f>
        <v>64</v>
      </c>
      <c r="J16" s="39"/>
      <c r="K16" s="20">
        <f t="shared" si="5"/>
        <v>2.3111111111111109</v>
      </c>
      <c r="L16" s="43">
        <f t="shared" si="0"/>
        <v>0</v>
      </c>
      <c r="M16" s="34"/>
      <c r="N16" s="39"/>
      <c r="O16" s="20">
        <f t="shared" si="6"/>
        <v>3.9159722222222224</v>
      </c>
      <c r="P16" s="43">
        <f t="shared" si="1"/>
        <v>0</v>
      </c>
      <c r="Q16" s="20">
        <f t="shared" si="2"/>
        <v>0</v>
      </c>
      <c r="R16" s="20">
        <f t="shared" si="9"/>
        <v>1.6048611111111111</v>
      </c>
      <c r="S16" s="28"/>
      <c r="T16" s="28"/>
      <c r="U16" s="17">
        <f t="shared" si="10"/>
        <v>0</v>
      </c>
      <c r="V16" s="28"/>
      <c r="W16" s="17">
        <f t="shared" si="7"/>
        <v>7845</v>
      </c>
      <c r="X16" s="10">
        <f t="shared" si="3"/>
        <v>0</v>
      </c>
      <c r="Y16" s="17">
        <f t="shared" si="11"/>
        <v>6988</v>
      </c>
      <c r="Z16" s="17">
        <f t="shared" si="4"/>
        <v>0</v>
      </c>
      <c r="AA16" s="28"/>
      <c r="AB16" s="28"/>
      <c r="AC16" s="29"/>
      <c r="AE16" s="29"/>
      <c r="AF16" s="28"/>
      <c r="AG16" s="29"/>
      <c r="AH16" s="18">
        <f t="shared" si="12"/>
        <v>0</v>
      </c>
    </row>
    <row r="17" spans="1:34" ht="13">
      <c r="A17" s="46" t="s">
        <v>37</v>
      </c>
      <c r="B17" s="48">
        <v>41465</v>
      </c>
      <c r="C17" s="5" t="s">
        <v>50</v>
      </c>
      <c r="D17" s="46" t="s">
        <v>72</v>
      </c>
      <c r="E17" s="4" t="s">
        <v>73</v>
      </c>
      <c r="F17" s="5">
        <v>117</v>
      </c>
      <c r="G17" s="16">
        <f t="shared" si="8"/>
        <v>822</v>
      </c>
      <c r="H17" s="10">
        <f>ROUND(PRODUCT(G17/14),0)</f>
        <v>59</v>
      </c>
      <c r="I17" s="10">
        <f>ROUND(PRODUCT(G17/COUNT(F4:F17)),0)</f>
        <v>69</v>
      </c>
      <c r="J17" s="39">
        <v>0.28888888888888892</v>
      </c>
      <c r="K17" s="20">
        <f t="shared" si="5"/>
        <v>2.5999999999999996</v>
      </c>
      <c r="L17" s="43">
        <f t="shared" si="0"/>
        <v>16.899999999999999</v>
      </c>
      <c r="M17" s="34">
        <v>55</v>
      </c>
      <c r="N17" s="39">
        <v>0.42708333333333331</v>
      </c>
      <c r="O17" s="20">
        <f t="shared" si="6"/>
        <v>4.3430555555555559</v>
      </c>
      <c r="P17" s="43">
        <f t="shared" si="1"/>
        <v>11.4</v>
      </c>
      <c r="Q17" s="20">
        <f t="shared" si="2"/>
        <v>0.1381944444444444</v>
      </c>
      <c r="R17" s="20">
        <f t="shared" si="9"/>
        <v>1.7430555555555554</v>
      </c>
      <c r="S17" s="28">
        <v>750</v>
      </c>
      <c r="T17" s="28">
        <v>790</v>
      </c>
      <c r="U17" s="17">
        <f t="shared" si="10"/>
        <v>40</v>
      </c>
      <c r="V17" s="28">
        <v>699</v>
      </c>
      <c r="W17" s="17">
        <f t="shared" si="7"/>
        <v>8544</v>
      </c>
      <c r="X17" s="10">
        <f t="shared" si="3"/>
        <v>659</v>
      </c>
      <c r="Y17" s="17">
        <f t="shared" si="11"/>
        <v>7647</v>
      </c>
      <c r="Z17" s="17">
        <f t="shared" si="4"/>
        <v>40</v>
      </c>
      <c r="AA17" s="28">
        <v>1233</v>
      </c>
      <c r="AB17" s="28">
        <v>2</v>
      </c>
      <c r="AC17" s="29">
        <v>8</v>
      </c>
      <c r="AE17" s="29"/>
      <c r="AF17" s="29">
        <v>17</v>
      </c>
      <c r="AG17" s="29">
        <v>41</v>
      </c>
      <c r="AH17" s="18">
        <f t="shared" si="12"/>
        <v>24</v>
      </c>
    </row>
    <row r="18" spans="1:34" ht="13">
      <c r="A18" s="46" t="s">
        <v>38</v>
      </c>
      <c r="B18" s="48">
        <v>41466</v>
      </c>
      <c r="C18" s="5" t="s">
        <v>73</v>
      </c>
      <c r="D18" s="46"/>
      <c r="E18" s="4" t="s">
        <v>74</v>
      </c>
      <c r="F18" s="5">
        <v>129</v>
      </c>
      <c r="G18" s="16">
        <f t="shared" si="8"/>
        <v>951</v>
      </c>
      <c r="H18" s="10">
        <f>ROUND(PRODUCT(G18/15),0)</f>
        <v>63</v>
      </c>
      <c r="I18" s="10">
        <f>ROUND(PRODUCT(G18/COUNT(F4:F18)),0)</f>
        <v>73</v>
      </c>
      <c r="J18" s="39">
        <v>0.3125</v>
      </c>
      <c r="K18" s="20">
        <f t="shared" si="5"/>
        <v>2.9124999999999996</v>
      </c>
      <c r="L18" s="43">
        <f t="shared" si="0"/>
        <v>17.2</v>
      </c>
      <c r="M18" s="34">
        <v>57</v>
      </c>
      <c r="N18" s="39">
        <v>0.45833333333333331</v>
      </c>
      <c r="O18" s="20">
        <f t="shared" si="6"/>
        <v>4.8013888888888889</v>
      </c>
      <c r="P18" s="43">
        <f t="shared" si="1"/>
        <v>11.7</v>
      </c>
      <c r="Q18" s="20">
        <f t="shared" si="2"/>
        <v>0.14583333333333331</v>
      </c>
      <c r="R18" s="20">
        <f t="shared" si="9"/>
        <v>1.8888888888888886</v>
      </c>
      <c r="S18" s="28">
        <v>790</v>
      </c>
      <c r="T18" s="10">
        <v>800</v>
      </c>
      <c r="U18" s="17">
        <f t="shared" si="10"/>
        <v>10</v>
      </c>
      <c r="V18" s="28">
        <v>524</v>
      </c>
      <c r="W18" s="17">
        <f t="shared" si="7"/>
        <v>9068</v>
      </c>
      <c r="X18" s="10">
        <f t="shared" si="3"/>
        <v>514</v>
      </c>
      <c r="Y18" s="17">
        <f t="shared" si="11"/>
        <v>8161</v>
      </c>
      <c r="Z18" s="17">
        <f t="shared" si="4"/>
        <v>10</v>
      </c>
      <c r="AA18" s="10">
        <v>900</v>
      </c>
      <c r="AB18" s="28">
        <v>1</v>
      </c>
      <c r="AC18" s="29">
        <v>5</v>
      </c>
      <c r="AE18" s="29"/>
      <c r="AF18" s="29">
        <v>24</v>
      </c>
      <c r="AG18" s="29">
        <v>37</v>
      </c>
      <c r="AH18" s="18">
        <f t="shared" si="12"/>
        <v>13</v>
      </c>
    </row>
    <row r="19" spans="1:34" ht="13">
      <c r="A19" s="30" t="s">
        <v>6</v>
      </c>
      <c r="B19" s="57"/>
      <c r="C19" s="58"/>
      <c r="D19" s="58"/>
      <c r="E19" s="58"/>
      <c r="F19" s="31">
        <f>SUM(F4:F18)</f>
        <v>951</v>
      </c>
      <c r="G19" s="21">
        <f>SUM(G18)</f>
        <v>951</v>
      </c>
      <c r="H19" s="21">
        <f>SUM(H18)</f>
        <v>63</v>
      </c>
      <c r="I19" s="21">
        <f>SUM(I18)</f>
        <v>73</v>
      </c>
      <c r="J19" s="22">
        <f>SUM(J4:J18)</f>
        <v>2.9124999999999996</v>
      </c>
      <c r="K19" s="37">
        <f>F19/SUM(HOUR(J19)+(ROUNDDOWN(J19,0)*24),PRODUCT(MINUTE(J19)/60))</f>
        <v>13.605150214592273</v>
      </c>
      <c r="L19" s="42">
        <f>SUM(L4:L18)/COUNT(F4:F18)</f>
        <v>13.046153846153848</v>
      </c>
      <c r="M19" s="45">
        <f>PRODUCT(SUM(M4:M18),1/COUNT(M4:M18))</f>
        <v>43.153846153846153</v>
      </c>
      <c r="N19" s="22">
        <f>SUM(N4:N18)</f>
        <v>4.8013888888888889</v>
      </c>
      <c r="O19" s="37">
        <f>F19/SUM(HOUR(N19)+(ROUNDDOWN(N19,0)*24),PRODUCT(MINUTE(N19)/60))</f>
        <v>8.2528203644778717</v>
      </c>
      <c r="P19" s="42">
        <f>SUM(P4:P18)/COUNT(F4:F18)</f>
        <v>8.2384615384615394</v>
      </c>
      <c r="Q19" s="22">
        <f>SUM(Q4:Q18)</f>
        <v>1.8888888888888886</v>
      </c>
      <c r="R19" s="21"/>
      <c r="S19" s="21">
        <f>ROUND(SUM(S4:S18)/COUNT(S4:S18),0)</f>
        <v>2102</v>
      </c>
      <c r="T19" s="21">
        <f>ROUND(SUM(T4:T18)/COUNT(T4:T18),0)</f>
        <v>2172</v>
      </c>
      <c r="U19" s="23">
        <f>SUM(U4:U18)</f>
        <v>907</v>
      </c>
      <c r="V19" s="21">
        <f>ROUND(SUM(V4:V18)/COUNT(V4:V18),0)</f>
        <v>698</v>
      </c>
      <c r="W19" s="21">
        <f>SUM(W18)</f>
        <v>9068</v>
      </c>
      <c r="X19" s="21">
        <f>ROUND(SUM(X4:X18)/COUNT(V4:V18),0)</f>
        <v>628</v>
      </c>
      <c r="Y19" s="21">
        <f>SUM(Y18)</f>
        <v>8161</v>
      </c>
      <c r="Z19" s="23">
        <f>SUM(Z4:Z18)</f>
        <v>907</v>
      </c>
      <c r="AA19" s="21">
        <f>ROUND(SUM(AA4:AA18)/COUNT(AA4:AA18),0)</f>
        <v>2531</v>
      </c>
      <c r="AB19" s="36">
        <f>SUM(AB4:AB18)/COUNT(AB4:AB18)</f>
        <v>3.2307692307692308</v>
      </c>
      <c r="AC19" s="36">
        <f>SUM(AC4:AC18)/COUNT(AC4:AC18)</f>
        <v>14.153846153846153</v>
      </c>
      <c r="AD19" s="36" t="e">
        <f>SUM(AD9:AD18)/COUNT(AD9:AD18)</f>
        <v>#DIV/0!</v>
      </c>
      <c r="AE19" s="36" t="e">
        <f>SUM(AE4:AE18)/COUNT(AE4:AE18)</f>
        <v>#DIV/0!</v>
      </c>
      <c r="AF19" s="36">
        <f>SUM(AF4:AF18)/COUNT(AF4:AF18)</f>
        <v>14</v>
      </c>
      <c r="AG19" s="36">
        <f>SUM(AG4:AG18)/COUNT(AG4:AG18)</f>
        <v>28.384615384615383</v>
      </c>
      <c r="AH19" s="36">
        <f>SUM(AH4:AH18)/COUNT(AG4:AG18)</f>
        <v>14.384615384615385</v>
      </c>
    </row>
    <row r="20" spans="1:34" ht="13">
      <c r="Q20" s="10"/>
      <c r="R20" s="10"/>
      <c r="S20" s="10"/>
      <c r="W20" s="17"/>
      <c r="Y20" s="17"/>
    </row>
    <row r="21" spans="1:34" ht="13">
      <c r="O21" s="10"/>
      <c r="P21" s="10"/>
      <c r="Q21" s="10"/>
      <c r="R21" s="32"/>
      <c r="S21" s="10"/>
      <c r="T21" s="10"/>
      <c r="U21" s="10"/>
      <c r="V21" s="10"/>
      <c r="W21" s="17"/>
      <c r="X21" s="10"/>
      <c r="Y21" s="17"/>
      <c r="Z21" s="10"/>
      <c r="AA21" s="10"/>
    </row>
    <row r="22" spans="1:34" ht="13">
      <c r="N22" s="41"/>
      <c r="O22" s="10"/>
      <c r="P22" s="10"/>
      <c r="Q22" s="40"/>
      <c r="R22" s="40"/>
      <c r="S22" s="10"/>
      <c r="T22" s="10"/>
      <c r="U22" s="10"/>
      <c r="V22" s="10"/>
      <c r="W22" s="10"/>
      <c r="X22" s="10"/>
      <c r="Y22" s="10"/>
      <c r="Z22" s="10"/>
      <c r="AA22" s="10"/>
    </row>
    <row r="23" spans="1:34" ht="13">
      <c r="O23" s="10"/>
      <c r="P23" s="10"/>
      <c r="Q23" s="40"/>
      <c r="R23" s="40"/>
      <c r="S23" s="10"/>
      <c r="T23" s="10"/>
      <c r="U23" s="10"/>
      <c r="V23" s="10"/>
      <c r="W23" s="10"/>
      <c r="X23" s="10"/>
      <c r="Y23" s="10"/>
      <c r="Z23" s="10"/>
      <c r="AA23" s="10"/>
    </row>
    <row r="24" spans="1:34" ht="13">
      <c r="O24" s="10"/>
      <c r="P24" s="10"/>
      <c r="Q24" s="10"/>
      <c r="R24" s="40"/>
      <c r="S24" s="10"/>
      <c r="T24" s="10"/>
      <c r="U24" s="10"/>
      <c r="V24" s="10"/>
      <c r="W24" s="10"/>
      <c r="X24" s="10"/>
      <c r="Y24" s="10"/>
      <c r="Z24" s="10"/>
      <c r="AA24" s="10"/>
    </row>
    <row r="25" spans="1:34"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</row>
  </sheetData>
  <mergeCells count="4">
    <mergeCell ref="A1:F1"/>
    <mergeCell ref="A2:F2"/>
    <mergeCell ref="G1:AH1"/>
    <mergeCell ref="B19:E19"/>
  </mergeCells>
  <phoneticPr fontId="0" type="noConversion"/>
  <pageMargins left="0.59055118110236227" right="0.39370078740157483" top="0.98425196850393704" bottom="0.98425196850393704" header="0.51181102362204722" footer="0.51181102362204722"/>
  <pageSetup paperSize="9" scale="93" orientation="landscape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79252-C556-4B42-A9EC-5578F37DFB61}">
  <sheetPr codeName="Tabelle2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8DA9A-BB98-4917-B40E-42AE16855702}">
  <sheetPr codeName="Tabelle3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MSCRM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christoph.gocke</dc:creator>
  <cp:lastModifiedBy>Gocke, Christoph</cp:lastModifiedBy>
  <cp:lastPrinted>2008-09-30T19:05:36Z</cp:lastPrinted>
  <dcterms:created xsi:type="dcterms:W3CDTF">2001-02-09T16:25:48Z</dcterms:created>
  <dcterms:modified xsi:type="dcterms:W3CDTF">2025-11-12T20:14:01Z</dcterms:modified>
</cp:coreProperties>
</file>