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A2D49995-5CDB-4769-962E-D0CBF925AAD7}" xr6:coauthVersionLast="47" xr6:coauthVersionMax="47" xr10:uidLastSave="{00000000-0000-0000-0000-000000000000}"/>
  <bookViews>
    <workbookView xWindow="-110" yWindow="-110" windowWidth="19420" windowHeight="10420" xr2:uid="{02DC84CC-B4A2-472F-B101-CBA69646154D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I4" i="1" s="1"/>
  <c r="H4" i="1"/>
  <c r="K4" i="1"/>
  <c r="L4" i="1"/>
  <c r="L14" i="1" s="1"/>
  <c r="O4" i="1"/>
  <c r="P4" i="1"/>
  <c r="Q4" i="1"/>
  <c r="R4" i="1" s="1"/>
  <c r="R5" i="1" s="1"/>
  <c r="R6" i="1" s="1"/>
  <c r="R7" i="1" s="1"/>
  <c r="R8" i="1" s="1"/>
  <c r="R9" i="1" s="1"/>
  <c r="R10" i="1" s="1"/>
  <c r="R11" i="1" s="1"/>
  <c r="R12" i="1" s="1"/>
  <c r="R13" i="1" s="1"/>
  <c r="U4" i="1"/>
  <c r="U14" i="1" s="1"/>
  <c r="W4" i="1"/>
  <c r="AH4" i="1"/>
  <c r="G5" i="1"/>
  <c r="H5" i="1" s="1"/>
  <c r="K5" i="1"/>
  <c r="L5" i="1"/>
  <c r="O5" i="1"/>
  <c r="O6" i="1" s="1"/>
  <c r="O7" i="1" s="1"/>
  <c r="O8" i="1" s="1"/>
  <c r="O9" i="1" s="1"/>
  <c r="O10" i="1" s="1"/>
  <c r="O11" i="1" s="1"/>
  <c r="O12" i="1" s="1"/>
  <c r="O13" i="1" s="1"/>
  <c r="P5" i="1"/>
  <c r="Q5" i="1"/>
  <c r="U5" i="1"/>
  <c r="W5" i="1"/>
  <c r="W6" i="1" s="1"/>
  <c r="W7" i="1" s="1"/>
  <c r="W8" i="1" s="1"/>
  <c r="W9" i="1" s="1"/>
  <c r="W10" i="1" s="1"/>
  <c r="W11" i="1" s="1"/>
  <c r="W12" i="1" s="1"/>
  <c r="W13" i="1" s="1"/>
  <c r="AH5" i="1"/>
  <c r="K6" i="1"/>
  <c r="L6" i="1"/>
  <c r="P6" i="1"/>
  <c r="Q6" i="1"/>
  <c r="U6" i="1"/>
  <c r="AH6" i="1"/>
  <c r="K7" i="1"/>
  <c r="L7" i="1"/>
  <c r="P7" i="1"/>
  <c r="Q7" i="1"/>
  <c r="U7" i="1"/>
  <c r="AH7" i="1"/>
  <c r="K8" i="1"/>
  <c r="L8" i="1"/>
  <c r="P8" i="1"/>
  <c r="Q8" i="1"/>
  <c r="U8" i="1"/>
  <c r="AH8" i="1"/>
  <c r="K9" i="1"/>
  <c r="L9" i="1"/>
  <c r="P9" i="1"/>
  <c r="Q9" i="1"/>
  <c r="U9" i="1"/>
  <c r="AH9" i="1"/>
  <c r="K10" i="1"/>
  <c r="L10" i="1"/>
  <c r="P10" i="1"/>
  <c r="Q10" i="1"/>
  <c r="U10" i="1"/>
  <c r="AH10" i="1"/>
  <c r="K11" i="1"/>
  <c r="L11" i="1"/>
  <c r="P11" i="1"/>
  <c r="Q11" i="1"/>
  <c r="U11" i="1"/>
  <c r="AH11" i="1"/>
  <c r="K12" i="1"/>
  <c r="L12" i="1"/>
  <c r="P12" i="1"/>
  <c r="Q12" i="1"/>
  <c r="U12" i="1"/>
  <c r="AH12" i="1"/>
  <c r="K13" i="1"/>
  <c r="L13" i="1"/>
  <c r="P13" i="1"/>
  <c r="Q13" i="1"/>
  <c r="U13" i="1"/>
  <c r="AH13" i="1"/>
  <c r="F14" i="1"/>
  <c r="K14" i="1"/>
  <c r="J14" i="1"/>
  <c r="M14" i="1"/>
  <c r="N14" i="1"/>
  <c r="P14" i="1"/>
  <c r="Q14" i="1"/>
  <c r="S14" i="1"/>
  <c r="T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O14" i="1"/>
  <c r="G6" i="1" l="1"/>
  <c r="I5" i="1"/>
  <c r="H6" i="1" l="1"/>
  <c r="I6" i="1"/>
  <c r="G7" i="1"/>
  <c r="H7" i="1" l="1"/>
  <c r="I7" i="1"/>
  <c r="G8" i="1"/>
  <c r="H8" i="1" l="1"/>
  <c r="I8" i="1"/>
  <c r="G9" i="1"/>
  <c r="H9" i="1" l="1"/>
  <c r="I9" i="1"/>
  <c r="G10" i="1"/>
  <c r="H10" i="1" l="1"/>
  <c r="I10" i="1"/>
  <c r="G11" i="1"/>
  <c r="H11" i="1" l="1"/>
  <c r="I11" i="1"/>
  <c r="G12" i="1"/>
  <c r="H12" i="1" l="1"/>
  <c r="I12" i="1"/>
  <c r="G13" i="1"/>
  <c r="H13" i="1" l="1"/>
  <c r="H14" i="1" s="1"/>
  <c r="I13" i="1"/>
  <c r="I14" i="1" s="1"/>
  <c r="G14" i="1"/>
</calcChain>
</file>

<file path=xl/sharedStrings.xml><?xml version="1.0" encoding="utf-8"?>
<sst xmlns="http://schemas.openxmlformats.org/spreadsheetml/2006/main" count="73" uniqueCount="65">
  <si>
    <t>Tag</t>
  </si>
  <si>
    <t>Datum</t>
  </si>
  <si>
    <t>Start</t>
  </si>
  <si>
    <t>Zwischenstationen</t>
  </si>
  <si>
    <t>Ziel</t>
  </si>
  <si>
    <t>10.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</si>
  <si>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</si>
  <si>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</si>
  <si>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</si>
  <si>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</si>
  <si>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</si>
  <si>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</si>
  <si>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</si>
  <si>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</si>
  <si>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</si>
  <si>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</si>
  <si>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</si>
  <si>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</si>
  <si>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</si>
  <si>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</si>
  <si>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</si>
  <si>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</si>
  <si>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</si>
  <si>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</si>
  <si>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</si>
  <si>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</si>
  <si>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</si>
  <si>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</si>
  <si>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</si>
  <si>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</si>
  <si>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</si>
  <si>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</si>
  <si>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</si>
  <si>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</si>
  <si>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</si>
  <si>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</si>
  <si>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</si>
  <si>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</si>
  <si>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</si>
  <si>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</si>
  <si>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</si>
  <si>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</si>
  <si>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</si>
  <si>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</si>
  <si>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</si>
  <si>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Ronda</t>
  </si>
  <si>
    <t>Puerto de Encinas Borrachas (1006 m) - Algeciras</t>
  </si>
  <si>
    <t>Tarifa</t>
  </si>
  <si>
    <t>Casablanca</t>
  </si>
  <si>
    <t>Mohammedia</t>
  </si>
  <si>
    <t>Rabat</t>
  </si>
  <si>
    <t>Kénitra</t>
  </si>
  <si>
    <t xml:space="preserve">Suq-el-Arbaa-du-Gharb - Dlalha </t>
  </si>
  <si>
    <t>Larache</t>
  </si>
  <si>
    <t>Cap Spartel</t>
  </si>
  <si>
    <t>Tanger</t>
  </si>
  <si>
    <t>Ksar Sghir</t>
  </si>
  <si>
    <t>Tétouan</t>
  </si>
  <si>
    <t>Oued Laou</t>
  </si>
  <si>
    <t>El Jebha</t>
  </si>
  <si>
    <t>Al Hoceima</t>
  </si>
  <si>
    <t>Melilla</t>
  </si>
  <si>
    <t>Ronda - Tarifa / Casablanca - Melilla (16.-25.12.2013)</t>
  </si>
  <si>
    <r>
      <t>Statistik</t>
    </r>
    <r>
      <rPr>
        <b/>
        <sz val="20"/>
        <rFont val="Arial"/>
        <family val="2"/>
      </rPr>
      <t xml:space="preserve"> Ronda - Tarifa / Casablanca - Melilla (16.-25.12.2013)</t>
    </r>
  </si>
  <si>
    <t>Nador - Grenze Marokko/Spanien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</si>
</sst>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0" fillId="0" borderId="1" xfId="0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B7020-537B-42A5-884D-1DB1B6935665}">
  <sheetPr codeName="Tabelle1"/>
  <dimension ref="A1:AH20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49" t="s">
        <v>62</v>
      </c>
      <c r="B1" s="50"/>
      <c r="C1" s="50"/>
      <c r="D1" s="50"/>
      <c r="E1" s="50"/>
      <c r="F1" s="51"/>
      <c r="G1" s="53" t="s">
        <v>63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>
      <c r="A2" s="52"/>
      <c r="B2" s="52"/>
      <c r="C2" s="52"/>
      <c r="D2" s="52"/>
      <c r="E2" s="52"/>
      <c r="F2" s="52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21</v>
      </c>
      <c r="G3" s="24" t="s">
        <v>25</v>
      </c>
      <c r="H3" s="24" t="s">
        <v>22</v>
      </c>
      <c r="I3" s="24" t="s">
        <v>23</v>
      </c>
      <c r="J3" s="24" t="s">
        <v>7</v>
      </c>
      <c r="K3" s="25" t="s">
        <v>31</v>
      </c>
      <c r="L3" s="24" t="s">
        <v>35</v>
      </c>
      <c r="M3" s="24" t="s">
        <v>24</v>
      </c>
      <c r="N3" s="24" t="s">
        <v>13</v>
      </c>
      <c r="O3" s="25" t="s">
        <v>32</v>
      </c>
      <c r="P3" s="24" t="s">
        <v>34</v>
      </c>
      <c r="Q3" s="24" t="s">
        <v>14</v>
      </c>
      <c r="R3" s="25" t="s">
        <v>33</v>
      </c>
      <c r="S3" s="24" t="s">
        <v>8</v>
      </c>
      <c r="T3" s="24" t="s">
        <v>9</v>
      </c>
      <c r="U3" s="24" t="s">
        <v>30</v>
      </c>
      <c r="V3" s="24" t="s">
        <v>11</v>
      </c>
      <c r="W3" s="25" t="s">
        <v>26</v>
      </c>
      <c r="X3" s="24" t="s">
        <v>12</v>
      </c>
      <c r="Y3" s="25" t="s">
        <v>28</v>
      </c>
      <c r="Z3" s="25" t="s">
        <v>29</v>
      </c>
      <c r="AA3" s="24" t="s">
        <v>10</v>
      </c>
      <c r="AB3" s="26" t="s">
        <v>17</v>
      </c>
      <c r="AC3" s="26" t="s">
        <v>18</v>
      </c>
      <c r="AD3" s="26" t="s">
        <v>19</v>
      </c>
      <c r="AE3" s="26" t="s">
        <v>20</v>
      </c>
      <c r="AF3" s="27" t="s">
        <v>16</v>
      </c>
      <c r="AG3" s="27" t="s">
        <v>15</v>
      </c>
      <c r="AH3" s="27" t="s">
        <v>27</v>
      </c>
    </row>
    <row r="4" spans="1:34" ht="13">
      <c r="A4" s="44" t="s">
        <v>36</v>
      </c>
      <c r="B4" s="48">
        <v>41624</v>
      </c>
      <c r="C4" s="5" t="s">
        <v>45</v>
      </c>
      <c r="D4" s="46" t="s">
        <v>46</v>
      </c>
      <c r="E4" s="4" t="s">
        <v>47</v>
      </c>
      <c r="F4" s="5">
        <v>125</v>
      </c>
      <c r="G4" s="12">
        <f>SUM(F4)</f>
        <v>125</v>
      </c>
      <c r="H4" s="13">
        <f>ROUND(PRODUCT(G4/1),0)</f>
        <v>125</v>
      </c>
      <c r="I4" s="13">
        <f>ROUND(PRODUCT(G4/COUNT(F4:F4)),0)</f>
        <v>125</v>
      </c>
      <c r="J4" s="38">
        <v>0.29166666666666669</v>
      </c>
      <c r="K4" s="19">
        <f>SUM(J4)</f>
        <v>0.29166666666666669</v>
      </c>
      <c r="L4" s="43">
        <f t="shared" ref="L4:L13" si="0">IF(F4=0,0,ROUND(PRODUCT(F4/SUM(HOUR(J4),PRODUCT(MINUTE(J4)/60))),1))</f>
        <v>17.899999999999999</v>
      </c>
      <c r="M4" s="33">
        <v>60</v>
      </c>
      <c r="N4" s="38">
        <v>0.35416666666666669</v>
      </c>
      <c r="O4" s="19">
        <f>SUM(N4)</f>
        <v>0.35416666666666669</v>
      </c>
      <c r="P4" s="43">
        <f t="shared" ref="P4:P13" si="1">IF(F4=0,0,ROUND(PRODUCT(F4/SUM(HOUR(N4),PRODUCT(MINUTE(N4)/60))),1))</f>
        <v>14.7</v>
      </c>
      <c r="Q4" s="19">
        <f t="shared" ref="Q4:Q13" si="2">SUM(N4,-J4)</f>
        <v>6.25E-2</v>
      </c>
      <c r="R4" s="19">
        <f>SUM(Q4)</f>
        <v>6.25E-2</v>
      </c>
      <c r="S4" s="13">
        <v>750</v>
      </c>
      <c r="T4" s="10">
        <v>10</v>
      </c>
      <c r="U4" s="14">
        <f>SUM(-S4,T4)</f>
        <v>-740</v>
      </c>
      <c r="V4" s="13"/>
      <c r="W4" s="14">
        <f>SUM(V4)</f>
        <v>0</v>
      </c>
      <c r="X4" s="13"/>
      <c r="Y4" s="14"/>
      <c r="Z4" s="14"/>
      <c r="AA4" s="13">
        <v>1000</v>
      </c>
      <c r="AB4" s="13"/>
      <c r="AC4" s="13"/>
      <c r="AD4" s="13"/>
      <c r="AE4" s="13"/>
      <c r="AF4" s="13">
        <v>10</v>
      </c>
      <c r="AG4" s="13">
        <v>21</v>
      </c>
      <c r="AH4" s="15">
        <f>SUM(AG4,-AF4)</f>
        <v>11</v>
      </c>
    </row>
    <row r="5" spans="1:34" ht="13">
      <c r="A5" s="44" t="s">
        <v>37</v>
      </c>
      <c r="B5" s="48">
        <v>41625</v>
      </c>
      <c r="C5" s="5" t="s">
        <v>48</v>
      </c>
      <c r="D5" s="46"/>
      <c r="E5" s="4" t="s">
        <v>49</v>
      </c>
      <c r="F5" s="5">
        <v>33</v>
      </c>
      <c r="G5" s="16">
        <f>SUM(G4,F5)</f>
        <v>158</v>
      </c>
      <c r="H5" s="10">
        <f>ROUND(PRODUCT(G5/2),0)</f>
        <v>79</v>
      </c>
      <c r="I5" s="10">
        <f>ROUND(PRODUCT(G5/COUNT(F4:F5)),0)</f>
        <v>79</v>
      </c>
      <c r="J5" s="39">
        <v>8.3333333333333329E-2</v>
      </c>
      <c r="K5" s="20">
        <f t="shared" ref="K5:K13" si="3">SUM(J5,K4)</f>
        <v>0.375</v>
      </c>
      <c r="L5" s="43">
        <f t="shared" si="0"/>
        <v>16.5</v>
      </c>
      <c r="M5" s="34">
        <v>43</v>
      </c>
      <c r="N5" s="39">
        <v>0.1111111111111111</v>
      </c>
      <c r="O5" s="20">
        <f t="shared" ref="O5:O13" si="4">SUM(N5,O4)</f>
        <v>0.46527777777777779</v>
      </c>
      <c r="P5" s="43">
        <f t="shared" si="1"/>
        <v>12.4</v>
      </c>
      <c r="Q5" s="20">
        <f t="shared" si="2"/>
        <v>2.7777777777777776E-2</v>
      </c>
      <c r="R5" s="20">
        <f>SUM(Q5,R4)</f>
        <v>9.0277777777777776E-2</v>
      </c>
      <c r="S5" s="10">
        <v>10</v>
      </c>
      <c r="T5" s="10">
        <v>10</v>
      </c>
      <c r="U5" s="17">
        <f>SUM(-S5,T5)</f>
        <v>0</v>
      </c>
      <c r="V5" s="28"/>
      <c r="W5" s="17">
        <f t="shared" ref="W5:W13" si="5">SUM(W4,V5)</f>
        <v>0</v>
      </c>
      <c r="X5" s="10"/>
      <c r="Y5" s="17"/>
      <c r="Z5" s="17"/>
      <c r="AA5" s="10">
        <v>50</v>
      </c>
      <c r="AB5" s="10"/>
      <c r="AC5" s="29"/>
      <c r="AD5" s="28"/>
      <c r="AE5" s="29"/>
      <c r="AF5" s="29">
        <v>16</v>
      </c>
      <c r="AG5" s="29">
        <v>20</v>
      </c>
      <c r="AH5" s="18">
        <f>SUM(AG5,-AF5)</f>
        <v>4</v>
      </c>
    </row>
    <row r="6" spans="1:34" ht="13">
      <c r="A6" s="44" t="s">
        <v>38</v>
      </c>
      <c r="B6" s="48">
        <v>41626</v>
      </c>
      <c r="C6" s="5" t="s">
        <v>49</v>
      </c>
      <c r="D6" s="46" t="s">
        <v>50</v>
      </c>
      <c r="E6" s="4" t="s">
        <v>51</v>
      </c>
      <c r="F6" s="5">
        <v>112</v>
      </c>
      <c r="G6" s="16">
        <f t="shared" ref="G6:G13" si="6">SUM(G5,F6)</f>
        <v>270</v>
      </c>
      <c r="H6" s="10">
        <f>ROUND(PRODUCT(G6/3),0)</f>
        <v>90</v>
      </c>
      <c r="I6" s="10">
        <f>ROUND(PRODUCT(G6/COUNT(F4:F6)),0)</f>
        <v>90</v>
      </c>
      <c r="J6" s="39">
        <v>0.25</v>
      </c>
      <c r="K6" s="20">
        <f t="shared" si="3"/>
        <v>0.625</v>
      </c>
      <c r="L6" s="43">
        <f t="shared" si="0"/>
        <v>18.7</v>
      </c>
      <c r="M6" s="34">
        <v>40</v>
      </c>
      <c r="N6" s="39">
        <v>0.39583333333333331</v>
      </c>
      <c r="O6" s="20">
        <f t="shared" si="4"/>
        <v>0.86111111111111116</v>
      </c>
      <c r="P6" s="43">
        <f t="shared" si="1"/>
        <v>11.8</v>
      </c>
      <c r="Q6" s="20">
        <f t="shared" si="2"/>
        <v>0.14583333333333331</v>
      </c>
      <c r="R6" s="20">
        <f t="shared" ref="R6:R13" si="7">SUM(Q6,R5)</f>
        <v>0.2361111111111111</v>
      </c>
      <c r="S6" s="10">
        <v>10</v>
      </c>
      <c r="T6" s="28">
        <v>20</v>
      </c>
      <c r="U6" s="17">
        <f t="shared" ref="U6:U13" si="8">SUM(-S6,T6)</f>
        <v>10</v>
      </c>
      <c r="V6" s="28"/>
      <c r="W6" s="17">
        <f t="shared" si="5"/>
        <v>0</v>
      </c>
      <c r="X6" s="10"/>
      <c r="Y6" s="17"/>
      <c r="Z6" s="17"/>
      <c r="AA6" s="10">
        <v>50</v>
      </c>
      <c r="AB6" s="10"/>
      <c r="AC6" s="29"/>
      <c r="AD6" s="28"/>
      <c r="AE6" s="29"/>
      <c r="AF6" s="29">
        <v>11</v>
      </c>
      <c r="AG6" s="29">
        <v>24</v>
      </c>
      <c r="AH6" s="18">
        <f t="shared" ref="AH6:AH13" si="9">SUM(AG6,-AF6)</f>
        <v>13</v>
      </c>
    </row>
    <row r="7" spans="1:34" ht="13">
      <c r="A7" s="44" t="s">
        <v>39</v>
      </c>
      <c r="B7" s="48">
        <v>41627</v>
      </c>
      <c r="C7" s="5" t="s">
        <v>51</v>
      </c>
      <c r="D7" s="46" t="s">
        <v>52</v>
      </c>
      <c r="E7" s="4" t="s">
        <v>53</v>
      </c>
      <c r="F7" s="5">
        <v>159</v>
      </c>
      <c r="G7" s="16">
        <f t="shared" si="6"/>
        <v>429</v>
      </c>
      <c r="H7" s="10">
        <f>ROUND(PRODUCT(G7/4),0)</f>
        <v>107</v>
      </c>
      <c r="I7" s="10">
        <f>ROUND(PRODUCT(G7/COUNT(F4:F7)),0)</f>
        <v>107</v>
      </c>
      <c r="J7" s="39">
        <v>0.34375</v>
      </c>
      <c r="K7" s="20">
        <f t="shared" si="3"/>
        <v>0.96875</v>
      </c>
      <c r="L7" s="43">
        <f t="shared" si="0"/>
        <v>19.3</v>
      </c>
      <c r="M7" s="35">
        <v>50</v>
      </c>
      <c r="N7" s="39">
        <v>0.42708333333333331</v>
      </c>
      <c r="O7" s="20">
        <f t="shared" si="4"/>
        <v>1.2881944444444444</v>
      </c>
      <c r="P7" s="43">
        <f t="shared" si="1"/>
        <v>15.5</v>
      </c>
      <c r="Q7" s="20">
        <f t="shared" si="2"/>
        <v>8.3333333333333315E-2</v>
      </c>
      <c r="R7" s="20">
        <f t="shared" si="7"/>
        <v>0.31944444444444442</v>
      </c>
      <c r="S7" s="28">
        <v>20</v>
      </c>
      <c r="T7" s="28">
        <v>10</v>
      </c>
      <c r="U7" s="17">
        <f t="shared" si="8"/>
        <v>-10</v>
      </c>
      <c r="V7" s="47"/>
      <c r="W7" s="17">
        <f t="shared" si="5"/>
        <v>0</v>
      </c>
      <c r="X7" s="10"/>
      <c r="Y7" s="17"/>
      <c r="Z7" s="17"/>
      <c r="AA7" s="28">
        <v>90</v>
      </c>
      <c r="AB7" s="28"/>
      <c r="AC7" s="29"/>
      <c r="AD7" s="28"/>
      <c r="AE7" s="29"/>
      <c r="AF7" s="29">
        <v>10</v>
      </c>
      <c r="AG7" s="29">
        <v>20</v>
      </c>
      <c r="AH7" s="18">
        <f t="shared" si="9"/>
        <v>10</v>
      </c>
    </row>
    <row r="8" spans="1:34" ht="13">
      <c r="A8" s="44" t="s">
        <v>40</v>
      </c>
      <c r="B8" s="48">
        <v>41628</v>
      </c>
      <c r="C8" s="5" t="s">
        <v>53</v>
      </c>
      <c r="D8" s="46" t="s">
        <v>54</v>
      </c>
      <c r="E8" s="4" t="s">
        <v>55</v>
      </c>
      <c r="F8" s="5">
        <v>105</v>
      </c>
      <c r="G8" s="16">
        <f t="shared" si="6"/>
        <v>534</v>
      </c>
      <c r="H8" s="10">
        <f>ROUND(PRODUCT(G8/5),0)</f>
        <v>107</v>
      </c>
      <c r="I8" s="10">
        <f>ROUND(PRODUCT(G8/COUNT(F4:F8)),0)</f>
        <v>107</v>
      </c>
      <c r="J8" s="39">
        <v>0.3125</v>
      </c>
      <c r="K8" s="20">
        <f t="shared" si="3"/>
        <v>1.28125</v>
      </c>
      <c r="L8" s="43">
        <f t="shared" si="0"/>
        <v>14</v>
      </c>
      <c r="M8" s="35">
        <v>50</v>
      </c>
      <c r="N8" s="39">
        <v>0.41666666666666669</v>
      </c>
      <c r="O8" s="20">
        <f t="shared" si="4"/>
        <v>1.7048611111111112</v>
      </c>
      <c r="P8" s="43">
        <f t="shared" si="1"/>
        <v>10.5</v>
      </c>
      <c r="Q8" s="20">
        <f t="shared" si="2"/>
        <v>0.10416666666666669</v>
      </c>
      <c r="R8" s="20">
        <f t="shared" si="7"/>
        <v>0.4236111111111111</v>
      </c>
      <c r="S8" s="28">
        <v>10</v>
      </c>
      <c r="T8" s="28">
        <v>10</v>
      </c>
      <c r="U8" s="17">
        <f t="shared" si="8"/>
        <v>0</v>
      </c>
      <c r="V8" s="28"/>
      <c r="W8" s="17">
        <f t="shared" si="5"/>
        <v>0</v>
      </c>
      <c r="X8" s="10"/>
      <c r="Y8" s="17"/>
      <c r="Z8" s="17"/>
      <c r="AA8" s="28">
        <v>250</v>
      </c>
      <c r="AB8" s="28"/>
      <c r="AC8" s="29"/>
      <c r="AD8" s="28"/>
      <c r="AE8" s="29"/>
      <c r="AF8" s="29">
        <v>13</v>
      </c>
      <c r="AG8" s="29">
        <v>17</v>
      </c>
      <c r="AH8" s="18">
        <f t="shared" si="9"/>
        <v>4</v>
      </c>
    </row>
    <row r="9" spans="1:34" ht="13">
      <c r="A9" s="44" t="s">
        <v>41</v>
      </c>
      <c r="B9" s="48">
        <v>41629</v>
      </c>
      <c r="C9" s="5" t="s">
        <v>55</v>
      </c>
      <c r="D9" s="46" t="s">
        <v>56</v>
      </c>
      <c r="E9" s="4" t="s">
        <v>57</v>
      </c>
      <c r="F9" s="5">
        <v>101</v>
      </c>
      <c r="G9" s="16">
        <f t="shared" si="6"/>
        <v>635</v>
      </c>
      <c r="H9" s="10">
        <f>ROUND(PRODUCT(G9/6),0)</f>
        <v>106</v>
      </c>
      <c r="I9" s="10">
        <f>ROUND(PRODUCT(G9/COUNT(F4:F9)),0)</f>
        <v>106</v>
      </c>
      <c r="J9" s="39">
        <v>0.29166666666666669</v>
      </c>
      <c r="K9" s="20">
        <f t="shared" si="3"/>
        <v>1.5729166666666667</v>
      </c>
      <c r="L9" s="43">
        <f t="shared" si="0"/>
        <v>14.4</v>
      </c>
      <c r="M9" s="35">
        <v>54</v>
      </c>
      <c r="N9" s="39">
        <v>0.375</v>
      </c>
      <c r="O9" s="20">
        <f t="shared" si="4"/>
        <v>2.0798611111111112</v>
      </c>
      <c r="P9" s="43">
        <f t="shared" si="1"/>
        <v>11.2</v>
      </c>
      <c r="Q9" s="20">
        <f t="shared" si="2"/>
        <v>8.3333333333333315E-2</v>
      </c>
      <c r="R9" s="20">
        <f t="shared" si="7"/>
        <v>0.50694444444444442</v>
      </c>
      <c r="S9" s="28">
        <v>10</v>
      </c>
      <c r="T9" s="28">
        <v>90</v>
      </c>
      <c r="U9" s="17">
        <f t="shared" si="8"/>
        <v>80</v>
      </c>
      <c r="V9" s="28"/>
      <c r="W9" s="17">
        <f t="shared" si="5"/>
        <v>0</v>
      </c>
      <c r="X9" s="10"/>
      <c r="Y9" s="17"/>
      <c r="Z9" s="17"/>
      <c r="AA9" s="28">
        <v>400</v>
      </c>
      <c r="AB9" s="28"/>
      <c r="AC9" s="29"/>
      <c r="AD9" s="28"/>
      <c r="AE9" s="29"/>
      <c r="AF9" s="29">
        <v>13</v>
      </c>
      <c r="AG9" s="29">
        <v>22</v>
      </c>
      <c r="AH9" s="18">
        <f t="shared" si="9"/>
        <v>9</v>
      </c>
    </row>
    <row r="10" spans="1:34" ht="13">
      <c r="A10" s="44" t="s">
        <v>42</v>
      </c>
      <c r="B10" s="48">
        <v>41630</v>
      </c>
      <c r="C10" s="5" t="s">
        <v>57</v>
      </c>
      <c r="D10" s="46"/>
      <c r="E10" s="4" t="s">
        <v>58</v>
      </c>
      <c r="F10" s="5">
        <v>48</v>
      </c>
      <c r="G10" s="16">
        <f t="shared" si="6"/>
        <v>683</v>
      </c>
      <c r="H10" s="10">
        <f>ROUND(PRODUCT(G10/7),0)</f>
        <v>98</v>
      </c>
      <c r="I10" s="10">
        <f>ROUND(PRODUCT(G10/COUNT(F4:F10)),0)</f>
        <v>98</v>
      </c>
      <c r="J10" s="39">
        <v>0.14583333333333334</v>
      </c>
      <c r="K10" s="20">
        <f t="shared" si="3"/>
        <v>1.71875</v>
      </c>
      <c r="L10" s="43">
        <f t="shared" si="0"/>
        <v>13.7</v>
      </c>
      <c r="M10" s="34">
        <v>50</v>
      </c>
      <c r="N10" s="39">
        <v>0.16666666666666666</v>
      </c>
      <c r="O10" s="20">
        <f t="shared" si="4"/>
        <v>2.2465277777777777</v>
      </c>
      <c r="P10" s="43">
        <f t="shared" si="1"/>
        <v>12</v>
      </c>
      <c r="Q10" s="20">
        <f t="shared" si="2"/>
        <v>2.0833333333333315E-2</v>
      </c>
      <c r="R10" s="20">
        <f t="shared" si="7"/>
        <v>0.52777777777777768</v>
      </c>
      <c r="S10" s="28">
        <v>90</v>
      </c>
      <c r="T10" s="28">
        <v>10</v>
      </c>
      <c r="U10" s="17">
        <f t="shared" si="8"/>
        <v>-80</v>
      </c>
      <c r="V10" s="28"/>
      <c r="W10" s="17">
        <f t="shared" si="5"/>
        <v>0</v>
      </c>
      <c r="X10" s="10"/>
      <c r="Y10" s="17"/>
      <c r="Z10" s="17"/>
      <c r="AA10" s="28">
        <v>250</v>
      </c>
      <c r="AB10" s="28"/>
      <c r="AC10" s="29"/>
      <c r="AE10" s="29"/>
      <c r="AF10" s="29">
        <v>14</v>
      </c>
      <c r="AG10" s="29">
        <v>16</v>
      </c>
      <c r="AH10" s="18">
        <f t="shared" si="9"/>
        <v>2</v>
      </c>
    </row>
    <row r="11" spans="1:34" ht="13">
      <c r="A11" s="44" t="s">
        <v>43</v>
      </c>
      <c r="B11" s="48">
        <v>41631</v>
      </c>
      <c r="C11" s="5" t="s">
        <v>58</v>
      </c>
      <c r="D11" s="46"/>
      <c r="E11" s="4" t="s">
        <v>59</v>
      </c>
      <c r="F11" s="5">
        <v>81</v>
      </c>
      <c r="G11" s="16">
        <f t="shared" si="6"/>
        <v>764</v>
      </c>
      <c r="H11" s="10">
        <f>ROUND(PRODUCT(G11/8),0)</f>
        <v>96</v>
      </c>
      <c r="I11" s="10">
        <f>ROUND(PRODUCT(G11/COUNT(F4:F11)),0)</f>
        <v>96</v>
      </c>
      <c r="J11" s="39">
        <v>0.23611111111111113</v>
      </c>
      <c r="K11" s="20">
        <f t="shared" si="3"/>
        <v>1.9548611111111112</v>
      </c>
      <c r="L11" s="43">
        <f t="shared" si="0"/>
        <v>14.3</v>
      </c>
      <c r="M11" s="35">
        <v>52</v>
      </c>
      <c r="N11" s="39">
        <v>0.30208333333333331</v>
      </c>
      <c r="O11" s="20">
        <f t="shared" si="4"/>
        <v>2.5486111111111112</v>
      </c>
      <c r="P11" s="43">
        <f t="shared" si="1"/>
        <v>11.2</v>
      </c>
      <c r="Q11" s="20">
        <f t="shared" si="2"/>
        <v>6.5972222222222182E-2</v>
      </c>
      <c r="R11" s="20">
        <f t="shared" si="7"/>
        <v>0.59374999999999989</v>
      </c>
      <c r="S11" s="28">
        <v>10</v>
      </c>
      <c r="T11" s="28">
        <v>10</v>
      </c>
      <c r="U11" s="17">
        <f t="shared" si="8"/>
        <v>0</v>
      </c>
      <c r="V11" s="28"/>
      <c r="W11" s="17">
        <f t="shared" si="5"/>
        <v>0</v>
      </c>
      <c r="X11" s="10"/>
      <c r="Y11" s="17"/>
      <c r="Z11" s="17"/>
      <c r="AA11" s="28">
        <v>250</v>
      </c>
      <c r="AB11" s="28"/>
      <c r="AC11" s="29"/>
      <c r="AE11" s="29"/>
      <c r="AF11" s="29">
        <v>11</v>
      </c>
      <c r="AG11" s="29">
        <v>20</v>
      </c>
      <c r="AH11" s="18">
        <f t="shared" si="9"/>
        <v>9</v>
      </c>
    </row>
    <row r="12" spans="1:34" ht="13">
      <c r="A12" s="44" t="s">
        <v>44</v>
      </c>
      <c r="B12" s="48">
        <v>41632</v>
      </c>
      <c r="C12" s="5" t="s">
        <v>59</v>
      </c>
      <c r="D12" s="46"/>
      <c r="E12" s="4" t="s">
        <v>60</v>
      </c>
      <c r="F12" s="5">
        <v>109</v>
      </c>
      <c r="G12" s="16">
        <f t="shared" si="6"/>
        <v>873</v>
      </c>
      <c r="H12" s="10">
        <f>ROUND(PRODUCT(G12/9),0)</f>
        <v>97</v>
      </c>
      <c r="I12" s="10">
        <f>ROUND(PRODUCT(G12/COUNT(F4:F12)),0)</f>
        <v>97</v>
      </c>
      <c r="J12" s="39">
        <v>0.35416666666666669</v>
      </c>
      <c r="K12" s="20">
        <f t="shared" si="3"/>
        <v>2.3090277777777777</v>
      </c>
      <c r="L12" s="43">
        <f t="shared" si="0"/>
        <v>12.8</v>
      </c>
      <c r="M12" s="34">
        <v>63</v>
      </c>
      <c r="N12" s="39">
        <v>0.4236111111111111</v>
      </c>
      <c r="O12" s="20">
        <f t="shared" si="4"/>
        <v>2.9722222222222223</v>
      </c>
      <c r="P12" s="43">
        <f t="shared" si="1"/>
        <v>10.7</v>
      </c>
      <c r="Q12" s="20">
        <f t="shared" si="2"/>
        <v>6.944444444444442E-2</v>
      </c>
      <c r="R12" s="20">
        <f t="shared" si="7"/>
        <v>0.66319444444444431</v>
      </c>
      <c r="S12" s="28">
        <v>10</v>
      </c>
      <c r="T12" s="28">
        <v>80</v>
      </c>
      <c r="U12" s="17">
        <f t="shared" si="8"/>
        <v>70</v>
      </c>
      <c r="V12" s="28"/>
      <c r="W12" s="17">
        <f t="shared" si="5"/>
        <v>0</v>
      </c>
      <c r="X12" s="10"/>
      <c r="Y12" s="17"/>
      <c r="Z12" s="17"/>
      <c r="AA12" s="28">
        <v>800</v>
      </c>
      <c r="AB12" s="28"/>
      <c r="AC12" s="29"/>
      <c r="AE12" s="29"/>
      <c r="AF12" s="29">
        <v>11</v>
      </c>
      <c r="AG12" s="29">
        <v>22</v>
      </c>
      <c r="AH12" s="18">
        <f t="shared" si="9"/>
        <v>11</v>
      </c>
    </row>
    <row r="13" spans="1:34" ht="13">
      <c r="A13" s="46" t="s">
        <v>5</v>
      </c>
      <c r="B13" s="48">
        <v>41633</v>
      </c>
      <c r="C13" s="5" t="s">
        <v>60</v>
      </c>
      <c r="D13" s="46" t="s">
        <v>64</v>
      </c>
      <c r="E13" s="4" t="s">
        <v>61</v>
      </c>
      <c r="F13" s="5">
        <v>143</v>
      </c>
      <c r="G13" s="16">
        <f t="shared" si="6"/>
        <v>1016</v>
      </c>
      <c r="H13" s="10">
        <f>ROUND(PRODUCT(G13/10),0)</f>
        <v>102</v>
      </c>
      <c r="I13" s="10">
        <f>ROUND(PRODUCT(G13/COUNT(F4:F13)),0)</f>
        <v>102</v>
      </c>
      <c r="J13" s="39">
        <v>0.33333333333333331</v>
      </c>
      <c r="K13" s="20">
        <f t="shared" si="3"/>
        <v>2.6423611111111112</v>
      </c>
      <c r="L13" s="43">
        <f t="shared" si="0"/>
        <v>17.899999999999999</v>
      </c>
      <c r="M13" s="35">
        <v>58</v>
      </c>
      <c r="N13" s="39">
        <v>0.4236111111111111</v>
      </c>
      <c r="O13" s="20">
        <f t="shared" si="4"/>
        <v>3.3958333333333335</v>
      </c>
      <c r="P13" s="43">
        <f t="shared" si="1"/>
        <v>14.1</v>
      </c>
      <c r="Q13" s="20">
        <f t="shared" si="2"/>
        <v>9.027777777777779E-2</v>
      </c>
      <c r="R13" s="20">
        <f t="shared" si="7"/>
        <v>0.7534722222222221</v>
      </c>
      <c r="S13" s="28">
        <v>80</v>
      </c>
      <c r="T13" s="28">
        <v>10</v>
      </c>
      <c r="U13" s="17">
        <f t="shared" si="8"/>
        <v>-70</v>
      </c>
      <c r="V13" s="28"/>
      <c r="W13" s="17">
        <f t="shared" si="5"/>
        <v>0</v>
      </c>
      <c r="X13" s="10"/>
      <c r="Y13" s="17"/>
      <c r="Z13" s="17"/>
      <c r="AA13" s="28">
        <v>180</v>
      </c>
      <c r="AB13" s="28"/>
      <c r="AC13" s="29"/>
      <c r="AE13" s="29"/>
      <c r="AF13" s="29">
        <v>18</v>
      </c>
      <c r="AG13" s="29">
        <v>21</v>
      </c>
      <c r="AH13" s="18">
        <f t="shared" si="9"/>
        <v>3</v>
      </c>
    </row>
    <row r="14" spans="1:34" ht="13">
      <c r="A14" s="30" t="s">
        <v>6</v>
      </c>
      <c r="B14" s="56"/>
      <c r="C14" s="57"/>
      <c r="D14" s="57"/>
      <c r="E14" s="57"/>
      <c r="F14" s="31">
        <f>SUM(F4:F13)</f>
        <v>1016</v>
      </c>
      <c r="G14" s="21">
        <f>G13</f>
        <v>1016</v>
      </c>
      <c r="H14" s="21">
        <f>H13</f>
        <v>102</v>
      </c>
      <c r="I14" s="21">
        <f>I13</f>
        <v>102</v>
      </c>
      <c r="J14" s="22">
        <f>SUM(J4:J13)</f>
        <v>2.6423611111111112</v>
      </c>
      <c r="K14" s="37">
        <f>F14/SUM(HOUR(J14)+(ROUNDDOWN(J14,0)*24),PRODUCT(MINUTE(J14)/60))</f>
        <v>16.021024967148488</v>
      </c>
      <c r="L14" s="42">
        <f>SUM(L4:L13)/COUNT(F4:F13)</f>
        <v>15.950000000000003</v>
      </c>
      <c r="M14" s="45">
        <f>PRODUCT(SUM(M4:M13),1/COUNT(M4:M13))</f>
        <v>52</v>
      </c>
      <c r="N14" s="22">
        <f>SUM(N4:N13)</f>
        <v>3.3958333333333335</v>
      </c>
      <c r="O14" s="37">
        <f>F14/SUM(HOUR(N14)+(ROUNDDOWN(N14,0)*24),PRODUCT(MINUTE(N14)/60))</f>
        <v>12.466257668711657</v>
      </c>
      <c r="P14" s="42">
        <f>SUM(P4:P13)/COUNT(F4:F13)</f>
        <v>12.41</v>
      </c>
      <c r="Q14" s="22">
        <f>SUM(Q4:Q13)</f>
        <v>0.7534722222222221</v>
      </c>
      <c r="R14" s="21"/>
      <c r="S14" s="21">
        <f>ROUND(SUM(S4:S13)/COUNT(S4:S13),0)</f>
        <v>100</v>
      </c>
      <c r="T14" s="21">
        <f>ROUND(SUM(T4:T13)/COUNT(T4:T13),0)</f>
        <v>26</v>
      </c>
      <c r="U14" s="23">
        <f>SUM(U4:U13)</f>
        <v>-740</v>
      </c>
      <c r="V14" s="21" t="e">
        <f>ROUND(SUM(V4:V13)/COUNT(V4:V13),0)</f>
        <v>#DIV/0!</v>
      </c>
      <c r="W14" s="21" t="e">
        <f>SUM(#REF!)</f>
        <v>#REF!</v>
      </c>
      <c r="X14" s="21" t="e">
        <f>ROUND(SUM(X4:X13)/COUNT(V4:V13),0)</f>
        <v>#DIV/0!</v>
      </c>
      <c r="Y14" s="21" t="e">
        <f>SUM(#REF!)</f>
        <v>#REF!</v>
      </c>
      <c r="Z14" s="23">
        <f>SUM(Z4:Z13)</f>
        <v>0</v>
      </c>
      <c r="AA14" s="21">
        <f>ROUND(SUM(AA4:AA13)/COUNT(AA4:AA13),0)</f>
        <v>332</v>
      </c>
      <c r="AB14" s="36" t="e">
        <f>SUM(AB4:AB13)/COUNT(AB4:AB13)</f>
        <v>#DIV/0!</v>
      </c>
      <c r="AC14" s="36" t="e">
        <f>SUM(AC4:AC13)/COUNT(AC4:AC13)</f>
        <v>#DIV/0!</v>
      </c>
      <c r="AD14" s="36" t="e">
        <f>SUM(AD9:AD13)/COUNT(AD9:AD13)</f>
        <v>#DIV/0!</v>
      </c>
      <c r="AE14" s="36" t="e">
        <f>SUM(AE4:AE13)/COUNT(AE4:AE13)</f>
        <v>#DIV/0!</v>
      </c>
      <c r="AF14" s="36">
        <f>SUM(AF4:AF13)/COUNT(AF4:AF13)</f>
        <v>12.7</v>
      </c>
      <c r="AG14" s="36">
        <f>SUM(AG4:AG13)/COUNT(AG4:AG13)</f>
        <v>20.3</v>
      </c>
      <c r="AH14" s="36">
        <f>SUM(AH4:AH13)/COUNT(AG4:AG13)</f>
        <v>7.6</v>
      </c>
    </row>
    <row r="15" spans="1:34" ht="13">
      <c r="Q15" s="10"/>
      <c r="R15" s="10"/>
      <c r="S15" s="10"/>
      <c r="W15" s="17"/>
      <c r="Y15" s="17"/>
    </row>
    <row r="16" spans="1:34" ht="13">
      <c r="O16" s="10"/>
      <c r="P16" s="10"/>
      <c r="Q16" s="10"/>
      <c r="R16" s="32"/>
      <c r="S16" s="10"/>
      <c r="T16" s="10"/>
      <c r="U16" s="10"/>
      <c r="V16" s="10"/>
      <c r="W16" s="17"/>
      <c r="X16" s="10"/>
      <c r="Y16" s="17"/>
      <c r="Z16" s="10"/>
      <c r="AA16" s="10"/>
    </row>
    <row r="17" spans="14:27" ht="13">
      <c r="N17" s="41"/>
      <c r="O17" s="10"/>
      <c r="P17" s="10"/>
      <c r="Q17" s="40"/>
      <c r="R17" s="40"/>
      <c r="S17" s="10"/>
      <c r="T17" s="10"/>
      <c r="U17" s="10"/>
      <c r="V17" s="10"/>
      <c r="W17" s="10"/>
      <c r="X17" s="10"/>
      <c r="Y17" s="10"/>
      <c r="Z17" s="10"/>
      <c r="AA17" s="10"/>
    </row>
    <row r="18" spans="14:27" ht="13">
      <c r="O18" s="10"/>
      <c r="P18" s="10"/>
      <c r="Q18" s="40"/>
      <c r="R18" s="40"/>
      <c r="S18" s="10"/>
      <c r="T18" s="10"/>
      <c r="U18" s="10"/>
      <c r="V18" s="10"/>
      <c r="W18" s="10"/>
      <c r="X18" s="10"/>
      <c r="Y18" s="10"/>
      <c r="Z18" s="10"/>
      <c r="AA18" s="10"/>
    </row>
    <row r="19" spans="14:27" ht="13">
      <c r="O19" s="10"/>
      <c r="P19" s="10"/>
      <c r="Q19" s="10"/>
      <c r="R19" s="40"/>
      <c r="S19" s="10"/>
      <c r="T19" s="10"/>
      <c r="U19" s="10"/>
      <c r="V19" s="10"/>
      <c r="W19" s="10"/>
      <c r="X19" s="10"/>
      <c r="Y19" s="10"/>
      <c r="Z19" s="10"/>
      <c r="AA19" s="10"/>
    </row>
    <row r="20" spans="14:27"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</sheetData>
  <mergeCells count="4">
    <mergeCell ref="A1:F1"/>
    <mergeCell ref="A2:F2"/>
    <mergeCell ref="G1:AH1"/>
    <mergeCell ref="B14:E14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897B1-4604-4A46-87FF-4381719941DE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F2C77-3209-493D-B962-E13E54D7EAC5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2014-01-02T15:26:51Z</cp:lastPrinted>
  <dcterms:created xsi:type="dcterms:W3CDTF">2001-02-09T16:25:48Z</dcterms:created>
  <dcterms:modified xsi:type="dcterms:W3CDTF">2025-11-12T20:12:59Z</dcterms:modified>
</cp:coreProperties>
</file>