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BA0D1496-F2DE-4B0C-8857-F6C7F605F493}" xr6:coauthVersionLast="47" xr6:coauthVersionMax="47" xr10:uidLastSave="{00000000-0000-0000-0000-000000000000}"/>
  <bookViews>
    <workbookView xWindow="-110" yWindow="-110" windowWidth="19420" windowHeight="10420" xr2:uid="{B318A598-481F-4CAC-B291-6EC54F9990B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L4" i="1"/>
  <c r="O4" i="1"/>
  <c r="P4" i="1"/>
  <c r="P22" i="1"/>
  <c r="Q4" i="1"/>
  <c r="R4" i="1"/>
  <c r="R5" i="1"/>
  <c r="R6" i="1"/>
  <c r="U4" i="1"/>
  <c r="W4" i="1"/>
  <c r="X4" i="1"/>
  <c r="Z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AH4" i="1"/>
  <c r="AH22" i="1"/>
  <c r="G5" i="1"/>
  <c r="H5" i="1"/>
  <c r="K5" i="1"/>
  <c r="L5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P5" i="1"/>
  <c r="Q5" i="1"/>
  <c r="U5" i="1"/>
  <c r="W5" i="1"/>
  <c r="X5" i="1"/>
  <c r="Z5" i="1"/>
  <c r="AH5" i="1"/>
  <c r="K6" i="1"/>
  <c r="L6" i="1"/>
  <c r="P6" i="1"/>
  <c r="Q6" i="1"/>
  <c r="U6" i="1"/>
  <c r="U22" i="1"/>
  <c r="W6" i="1"/>
  <c r="X6" i="1"/>
  <c r="Z6" i="1"/>
  <c r="AH6" i="1"/>
  <c r="K7" i="1"/>
  <c r="L7" i="1"/>
  <c r="P7" i="1"/>
  <c r="Q7" i="1"/>
  <c r="U7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X7" i="1"/>
  <c r="Z7" i="1"/>
  <c r="AH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L8" i="1"/>
  <c r="P8" i="1"/>
  <c r="Q8" i="1"/>
  <c r="U8" i="1"/>
  <c r="X8" i="1"/>
  <c r="Z8" i="1"/>
  <c r="AH8" i="1"/>
  <c r="L9" i="1"/>
  <c r="L22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F22" i="1"/>
  <c r="K22" i="1"/>
  <c r="J22" i="1"/>
  <c r="M22" i="1"/>
  <c r="N22" i="1"/>
  <c r="O22" i="1"/>
  <c r="S22" i="1"/>
  <c r="T22" i="1"/>
  <c r="V22" i="1"/>
  <c r="W22" i="1"/>
  <c r="X22" i="1"/>
  <c r="Y22" i="1"/>
  <c r="AA22" i="1"/>
  <c r="AB22" i="1"/>
  <c r="AC22" i="1"/>
  <c r="AD22" i="1"/>
  <c r="AE22" i="1"/>
  <c r="AF22" i="1"/>
  <c r="AG22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Z22" i="1"/>
  <c r="I4" i="1"/>
  <c r="G6" i="1"/>
  <c r="Q22" i="1"/>
  <c r="I5" i="1"/>
  <c r="I6" i="1"/>
  <c r="H6" i="1"/>
  <c r="G7" i="1"/>
  <c r="I7" i="1"/>
  <c r="G8" i="1"/>
  <c r="H7" i="1"/>
  <c r="I8" i="1"/>
  <c r="G9" i="1"/>
  <c r="H8" i="1"/>
  <c r="G10" i="1"/>
  <c r="H9" i="1"/>
  <c r="I9" i="1"/>
  <c r="G11" i="1"/>
  <c r="H10" i="1"/>
  <c r="I10" i="1"/>
  <c r="G12" i="1"/>
  <c r="H11" i="1"/>
  <c r="I11" i="1"/>
  <c r="H12" i="1"/>
  <c r="G13" i="1"/>
  <c r="I12" i="1"/>
  <c r="H13" i="1"/>
  <c r="I13" i="1"/>
  <c r="G14" i="1"/>
  <c r="I14" i="1"/>
  <c r="H14" i="1"/>
  <c r="G15" i="1"/>
  <c r="I15" i="1"/>
  <c r="H15" i="1"/>
  <c r="G16" i="1"/>
  <c r="I16" i="1"/>
  <c r="G17" i="1"/>
  <c r="H16" i="1"/>
  <c r="G18" i="1"/>
  <c r="H17" i="1"/>
  <c r="I17" i="1"/>
  <c r="G19" i="1"/>
  <c r="H18" i="1"/>
  <c r="I18" i="1"/>
  <c r="G20" i="1"/>
  <c r="H19" i="1"/>
  <c r="I19" i="1"/>
  <c r="H20" i="1"/>
  <c r="I20" i="1"/>
  <c r="G21" i="1"/>
  <c r="H21" i="1"/>
  <c r="H22" i="1"/>
  <c r="I21" i="1"/>
  <c r="I22" i="1"/>
  <c r="G22" i="1"/>
</calcChain>
</file>

<file path=xl/sharedStrings.xml><?xml version="1.0" encoding="utf-8"?>
<sst xmlns="http://schemas.openxmlformats.org/spreadsheetml/2006/main" count="100" uniqueCount="84">
  <si>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</si>
  <si>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</si>
  <si>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</si>
  <si>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</si>
  <si>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</si>
  <si>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</si>
  <si>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</si>
  <si>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</si>
  <si>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</si>
  <si>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</si>
  <si>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</si>
  <si>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</si>
  <si>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</si>
  <si>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</si>
  <si>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</si>
  <si>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</si>
  <si>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</si>
  <si>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</si>
  <si>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</si>
  <si>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</si>
  <si>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</si>
  <si>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</si>
  <si>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</si>
  <si>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</si>
  <si>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</si>
  <si>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</si>
  <si>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</si>
  <si>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</si>
  <si>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</si>
  <si>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</si>
  <si>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</si>
  <si>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</si>
  <si>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</si>
  <si>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</si>
  <si>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</si>
  <si>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</si>
  <si>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</si>
  <si>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</si>
  <si>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</si>
  <si>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km/h brutto</t>
  </si>
  <si>
    <t>km/h netto</t>
  </si>
  <si>
    <t>16.</t>
  </si>
  <si>
    <t>17.</t>
  </si>
  <si>
    <t>18.</t>
  </si>
  <si>
    <t>Jerusalem</t>
  </si>
  <si>
    <t>Jericho</t>
  </si>
  <si>
    <t>Auja</t>
  </si>
  <si>
    <t>Bet Schean</t>
  </si>
  <si>
    <t>Ein Hugga</t>
  </si>
  <si>
    <t>Tiberias</t>
  </si>
  <si>
    <t>Tabgha</t>
  </si>
  <si>
    <t>Dan</t>
  </si>
  <si>
    <t>Rosch Hanikra - Akko</t>
  </si>
  <si>
    <t>Ibillin</t>
  </si>
  <si>
    <t>Haifa</t>
  </si>
  <si>
    <t>Netanja</t>
  </si>
  <si>
    <t>Jayyous</t>
  </si>
  <si>
    <t>Tel Aviv</t>
  </si>
  <si>
    <t>Burma-Road</t>
  </si>
  <si>
    <t>Bet Schemesch - Bet Guvrin - Rahat</t>
  </si>
  <si>
    <t>Givot Bar</t>
  </si>
  <si>
    <t>Mitzpe Ramon</t>
  </si>
  <si>
    <t>Timna</t>
  </si>
  <si>
    <t>Eilat</t>
  </si>
  <si>
    <t>Jerusalem - Dan - Eilat (7.-24.11.2017)</t>
  </si>
  <si>
    <r>
      <t>Statistik</t>
    </r>
    <r>
      <rPr>
        <b/>
        <sz val="20"/>
        <rFont val="Arial"/>
        <family val="2"/>
      </rPr>
      <t xml:space="preserve"> Jerusalem - Dan - Eilat (7.-24.11.2017)</t>
    </r>
  </si>
  <si>
    <t>Ein Gedi</t>
  </si>
  <si>
    <t>Banyas - Kirjat Schmona</t>
  </si>
  <si>
    <t>Baram</t>
  </si>
  <si>
    <t>Tel Aviv - Jaffa</t>
  </si>
  <si>
    <t>Rechovot</t>
  </si>
  <si>
    <t>Beerscheba - Dimona</t>
  </si>
  <si>
    <t>Mamshit</t>
  </si>
  <si>
    <t>Awdat</t>
  </si>
  <si>
    <t>Jerocham - Sede Boker - Midreshet Boker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</si>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</sst>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5" formatCode="[h]:mm"/>
    <numFmt numFmtId="188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85" fontId="8" fillId="0" borderId="3" xfId="0" applyNumberFormat="1" applyFont="1" applyBorder="1"/>
    <xf numFmtId="185" fontId="8" fillId="0" borderId="0" xfId="0" applyNumberFormat="1" applyFont="1" applyBorder="1"/>
    <xf numFmtId="0" fontId="1" fillId="0" borderId="1" xfId="0" applyFont="1" applyBorder="1"/>
    <xf numFmtId="185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8" fontId="0" fillId="0" borderId="3" xfId="0" applyNumberFormat="1" applyBorder="1"/>
    <xf numFmtId="188" fontId="0" fillId="0" borderId="0" xfId="0" applyNumberFormat="1" applyBorder="1"/>
    <xf numFmtId="188" fontId="0" fillId="0" borderId="0" xfId="0" applyNumberFormat="1" applyFill="1" applyBorder="1"/>
    <xf numFmtId="1" fontId="1" fillId="0" borderId="1" xfId="0" applyNumberFormat="1" applyFont="1" applyFill="1" applyBorder="1"/>
    <xf numFmtId="188" fontId="1" fillId="0" borderId="1" xfId="0" applyNumberFormat="1" applyFont="1" applyBorder="1"/>
    <xf numFmtId="185" fontId="0" fillId="0" borderId="3" xfId="0" applyNumberFormat="1" applyBorder="1"/>
    <xf numFmtId="185" fontId="0" fillId="0" borderId="0" xfId="0" applyNumberFormat="1" applyBorder="1"/>
    <xf numFmtId="188" fontId="1" fillId="0" borderId="0" xfId="0" applyNumberFormat="1" applyFont="1" applyBorder="1"/>
    <xf numFmtId="1" fontId="0" fillId="0" borderId="0" xfId="0" applyNumberFormat="1"/>
    <xf numFmtId="188" fontId="4" fillId="0" borderId="1" xfId="0" applyNumberFormat="1" applyFont="1" applyFill="1" applyBorder="1"/>
    <xf numFmtId="188" fontId="8" fillId="0" borderId="0" xfId="0" applyNumberFormat="1" applyFont="1" applyBorder="1"/>
    <xf numFmtId="188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185" fontId="4" fillId="0" borderId="0" xfId="0" applyNumberFormat="1" applyFon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621D-4976-4E6F-9F63-7F544F1C01A2}">
  <sheetPr codeName="Tabelle1"/>
  <dimension ref="A1:AH28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6.25" customHeight="1">
      <c r="A1" s="50" t="s">
        <v>64</v>
      </c>
      <c r="B1" s="51"/>
      <c r="C1" s="51"/>
      <c r="D1" s="51"/>
      <c r="E1" s="51"/>
      <c r="F1" s="52"/>
      <c r="G1" s="54" t="s">
        <v>65</v>
      </c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6"/>
    </row>
    <row r="2" spans="1:34">
      <c r="A2" s="53"/>
      <c r="B2" s="53"/>
      <c r="C2" s="53"/>
      <c r="D2" s="53"/>
      <c r="E2" s="53"/>
      <c r="F2" s="53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40</v>
      </c>
      <c r="M3" s="22" t="s">
        <v>25</v>
      </c>
      <c r="N3" s="22" t="s">
        <v>14</v>
      </c>
      <c r="O3" s="23" t="s">
        <v>33</v>
      </c>
      <c r="P3" s="22" t="s">
        <v>39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8" t="s">
        <v>75</v>
      </c>
      <c r="B4" s="44">
        <v>43046</v>
      </c>
      <c r="C4" s="45" t="s">
        <v>44</v>
      </c>
      <c r="D4" s="43"/>
      <c r="E4" s="46" t="s">
        <v>66</v>
      </c>
      <c r="F4" s="45">
        <v>77</v>
      </c>
      <c r="G4" s="10">
        <f>SUM(F4)</f>
        <v>77</v>
      </c>
      <c r="H4" s="11">
        <f>ROUND(PRODUCT(G4/1),0)</f>
        <v>77</v>
      </c>
      <c r="I4" s="11">
        <f>ROUND(PRODUCT(G4/COUNT(F4:F4)),0)</f>
        <v>77</v>
      </c>
      <c r="J4" s="36">
        <v>0.19305555555555554</v>
      </c>
      <c r="K4" s="17">
        <f>SUM(J4)</f>
        <v>0.19305555555555554</v>
      </c>
      <c r="L4" s="41">
        <f t="shared" ref="L4:L21" si="0">IF(F4=0,0,ROUND(PRODUCT(F4/SUM(HOUR(J4),PRODUCT(MINUTE(J4)/60))),1))</f>
        <v>16.600000000000001</v>
      </c>
      <c r="M4" s="31"/>
      <c r="N4" s="36">
        <v>0.29166666666666669</v>
      </c>
      <c r="O4" s="17">
        <f>SUM(N4)</f>
        <v>0.29166666666666669</v>
      </c>
      <c r="P4" s="41">
        <f t="shared" ref="P4:P21" si="1">IF(F4=0,0,ROUND(PRODUCT(F4/SUM(HOUR(N4),PRODUCT(MINUTE(N4)/60))),1))</f>
        <v>11</v>
      </c>
      <c r="Q4" s="17">
        <f t="shared" ref="Q4:Q21" si="2">SUM(N4,-J4)</f>
        <v>9.8611111111111149E-2</v>
      </c>
      <c r="R4" s="17">
        <f>SUM(Q4)</f>
        <v>9.8611111111111149E-2</v>
      </c>
      <c r="S4" s="11"/>
      <c r="T4" s="8"/>
      <c r="U4" s="12">
        <f>SUM(-S4,T4)</f>
        <v>0</v>
      </c>
      <c r="V4" s="11"/>
      <c r="W4" s="12">
        <f>SUM(V4)</f>
        <v>0</v>
      </c>
      <c r="X4" s="11">
        <f t="shared" ref="X4:X21" si="3">SUM(S4,-T4,V4)</f>
        <v>0</v>
      </c>
      <c r="Y4" s="12">
        <f>SUM(X4)</f>
        <v>0</v>
      </c>
      <c r="Z4" s="12">
        <f t="shared" ref="Z4:Z21" si="4">SUM(V4,-X4)</f>
        <v>0</v>
      </c>
      <c r="AA4" s="11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8" t="s">
        <v>76</v>
      </c>
      <c r="B5" s="44">
        <v>43047</v>
      </c>
      <c r="C5" s="45" t="s">
        <v>66</v>
      </c>
      <c r="D5" s="43" t="s">
        <v>45</v>
      </c>
      <c r="E5" s="46" t="s">
        <v>46</v>
      </c>
      <c r="F5" s="45">
        <v>75</v>
      </c>
      <c r="G5" s="14">
        <f>SUM(G4,F5)</f>
        <v>152</v>
      </c>
      <c r="H5" s="8">
        <f>ROUND(PRODUCT(G5/2),0)</f>
        <v>76</v>
      </c>
      <c r="I5" s="8">
        <f>ROUND(PRODUCT(G5/COUNT(F4:F5)),0)</f>
        <v>76</v>
      </c>
      <c r="J5" s="37">
        <v>0.22638888888888889</v>
      </c>
      <c r="K5" s="18">
        <f t="shared" ref="K5:K21" si="5">SUM(J5,K4)</f>
        <v>0.4194444444444444</v>
      </c>
      <c r="L5" s="41">
        <f t="shared" si="0"/>
        <v>13.8</v>
      </c>
      <c r="M5" s="32"/>
      <c r="N5" s="37">
        <v>0.41666666666666669</v>
      </c>
      <c r="O5" s="18">
        <f t="shared" ref="O5:O21" si="6">SUM(N5,O4)</f>
        <v>0.70833333333333337</v>
      </c>
      <c r="P5" s="41">
        <f t="shared" si="1"/>
        <v>7.5</v>
      </c>
      <c r="Q5" s="18">
        <f t="shared" si="2"/>
        <v>0.1902777777777778</v>
      </c>
      <c r="R5" s="18">
        <f>SUM(Q5,R4)</f>
        <v>0.28888888888888897</v>
      </c>
      <c r="S5" s="8"/>
      <c r="T5" s="8"/>
      <c r="U5" s="15">
        <f>SUM(-S5,T5)</f>
        <v>0</v>
      </c>
      <c r="V5" s="26"/>
      <c r="W5" s="15">
        <f t="shared" ref="W5:W21" si="7">SUM(W4,V5)</f>
        <v>0</v>
      </c>
      <c r="X5" s="8">
        <f t="shared" si="3"/>
        <v>0</v>
      </c>
      <c r="Y5" s="15">
        <f>SUM(Y4,X5)</f>
        <v>0</v>
      </c>
      <c r="Z5" s="15">
        <f t="shared" si="4"/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8" t="s">
        <v>77</v>
      </c>
      <c r="B6" s="44">
        <v>43048</v>
      </c>
      <c r="C6" s="45" t="s">
        <v>46</v>
      </c>
      <c r="D6" s="43" t="s">
        <v>47</v>
      </c>
      <c r="E6" s="46" t="s">
        <v>48</v>
      </c>
      <c r="F6" s="45">
        <v>75</v>
      </c>
      <c r="G6" s="14">
        <f t="shared" ref="G6:G21" si="8">SUM(G5,F6)</f>
        <v>227</v>
      </c>
      <c r="H6" s="8">
        <f>ROUND(PRODUCT(G6/3),0)</f>
        <v>76</v>
      </c>
      <c r="I6" s="8">
        <f>ROUND(PRODUCT(G6/COUNT(F4:F6)),0)</f>
        <v>76</v>
      </c>
      <c r="J6" s="47">
        <v>0.19930555555555554</v>
      </c>
      <c r="K6" s="18">
        <f t="shared" si="5"/>
        <v>0.61874999999999991</v>
      </c>
      <c r="L6" s="41">
        <f t="shared" si="0"/>
        <v>15.7</v>
      </c>
      <c r="M6" s="32"/>
      <c r="N6" s="37">
        <v>0.3125</v>
      </c>
      <c r="O6" s="18">
        <f t="shared" si="6"/>
        <v>1.0208333333333335</v>
      </c>
      <c r="P6" s="41">
        <f t="shared" si="1"/>
        <v>10</v>
      </c>
      <c r="Q6" s="18">
        <f t="shared" si="2"/>
        <v>0.11319444444444446</v>
      </c>
      <c r="R6" s="18">
        <f t="shared" ref="R6:R21" si="9">SUM(Q6,R5)</f>
        <v>0.40208333333333346</v>
      </c>
      <c r="S6" s="8"/>
      <c r="T6" s="26"/>
      <c r="U6" s="15">
        <f t="shared" ref="U6:U21" si="10">SUM(-S6,T6)</f>
        <v>0</v>
      </c>
      <c r="V6" s="26"/>
      <c r="W6" s="15">
        <f t="shared" si="7"/>
        <v>0</v>
      </c>
      <c r="X6" s="8">
        <f t="shared" si="3"/>
        <v>0</v>
      </c>
      <c r="Y6" s="15">
        <f t="shared" ref="Y6:Y21" si="11">SUM(Y5,X6)</f>
        <v>0</v>
      </c>
      <c r="Z6" s="15">
        <f t="shared" si="4"/>
        <v>0</v>
      </c>
      <c r="AA6" s="8"/>
      <c r="AB6" s="8"/>
      <c r="AC6" s="27"/>
      <c r="AD6" s="26"/>
      <c r="AE6" s="27"/>
      <c r="AF6" s="27"/>
      <c r="AG6" s="27"/>
      <c r="AH6" s="16">
        <f t="shared" ref="AH6:AH21" si="12">SUM(AG6,-AF6)</f>
        <v>0</v>
      </c>
    </row>
    <row r="7" spans="1:34" ht="13">
      <c r="A7" s="48" t="s">
        <v>78</v>
      </c>
      <c r="B7" s="44">
        <v>43049</v>
      </c>
      <c r="C7" s="45" t="s">
        <v>48</v>
      </c>
      <c r="D7" s="43" t="s">
        <v>49</v>
      </c>
      <c r="E7" s="46" t="s">
        <v>50</v>
      </c>
      <c r="F7" s="45">
        <v>55</v>
      </c>
      <c r="G7" s="14">
        <f t="shared" si="8"/>
        <v>282</v>
      </c>
      <c r="H7" s="8">
        <f>ROUND(PRODUCT(G7/4),0)</f>
        <v>71</v>
      </c>
      <c r="I7" s="8">
        <f>ROUND(PRODUCT(G7/COUNT(F4:F7)),0)</f>
        <v>71</v>
      </c>
      <c r="J7" s="37">
        <v>0.15347222222222223</v>
      </c>
      <c r="K7" s="18">
        <f t="shared" si="5"/>
        <v>0.77222222222222214</v>
      </c>
      <c r="L7" s="41">
        <f t="shared" si="0"/>
        <v>14.9</v>
      </c>
      <c r="M7" s="33"/>
      <c r="N7" s="37">
        <v>0.29166666666666669</v>
      </c>
      <c r="O7" s="18">
        <f t="shared" si="6"/>
        <v>1.3125000000000002</v>
      </c>
      <c r="P7" s="41">
        <f t="shared" si="1"/>
        <v>7.9</v>
      </c>
      <c r="Q7" s="18">
        <f t="shared" si="2"/>
        <v>0.13819444444444445</v>
      </c>
      <c r="R7" s="18">
        <f t="shared" si="9"/>
        <v>0.54027777777777786</v>
      </c>
      <c r="S7" s="26"/>
      <c r="T7" s="26"/>
      <c r="U7" s="15">
        <f t="shared" si="10"/>
        <v>0</v>
      </c>
      <c r="V7" s="26"/>
      <c r="W7" s="15">
        <f t="shared" si="7"/>
        <v>0</v>
      </c>
      <c r="X7" s="8">
        <f t="shared" si="3"/>
        <v>0</v>
      </c>
      <c r="Y7" s="15">
        <f t="shared" si="11"/>
        <v>0</v>
      </c>
      <c r="Z7" s="15">
        <f t="shared" si="4"/>
        <v>0</v>
      </c>
      <c r="AA7" s="26"/>
      <c r="AB7" s="26"/>
      <c r="AC7" s="27"/>
      <c r="AD7" s="26"/>
      <c r="AE7" s="27"/>
      <c r="AF7" s="27"/>
      <c r="AG7" s="27"/>
      <c r="AH7" s="16">
        <f t="shared" si="12"/>
        <v>0</v>
      </c>
    </row>
    <row r="8" spans="1:34" ht="13">
      <c r="A8" s="48" t="s">
        <v>79</v>
      </c>
      <c r="B8" s="44">
        <v>43050</v>
      </c>
      <c r="C8" s="45"/>
      <c r="D8" s="43" t="s">
        <v>50</v>
      </c>
      <c r="E8" s="46"/>
      <c r="F8" s="45"/>
      <c r="G8" s="14">
        <f t="shared" si="8"/>
        <v>282</v>
      </c>
      <c r="H8" s="8">
        <f>ROUND(PRODUCT(G8/5),0)</f>
        <v>56</v>
      </c>
      <c r="I8" s="8">
        <f>ROUND(PRODUCT(G8/COUNT(F4:F8)),0)</f>
        <v>71</v>
      </c>
      <c r="J8" s="37"/>
      <c r="K8" s="18">
        <f t="shared" si="5"/>
        <v>0.77222222222222214</v>
      </c>
      <c r="L8" s="41">
        <f t="shared" si="0"/>
        <v>0</v>
      </c>
      <c r="M8" s="33"/>
      <c r="N8" s="37"/>
      <c r="O8" s="18">
        <f t="shared" si="6"/>
        <v>1.3125000000000002</v>
      </c>
      <c r="P8" s="41">
        <f t="shared" si="1"/>
        <v>0</v>
      </c>
      <c r="Q8" s="18">
        <f t="shared" si="2"/>
        <v>0</v>
      </c>
      <c r="R8" s="18">
        <f t="shared" si="9"/>
        <v>0.54027777777777786</v>
      </c>
      <c r="S8" s="26"/>
      <c r="T8" s="26"/>
      <c r="U8" s="15">
        <f t="shared" si="10"/>
        <v>0</v>
      </c>
      <c r="V8" s="26"/>
      <c r="W8" s="15">
        <f t="shared" si="7"/>
        <v>0</v>
      </c>
      <c r="X8" s="8">
        <f t="shared" si="3"/>
        <v>0</v>
      </c>
      <c r="Y8" s="15">
        <f t="shared" si="11"/>
        <v>0</v>
      </c>
      <c r="Z8" s="15">
        <f t="shared" si="4"/>
        <v>0</v>
      </c>
      <c r="AA8" s="26"/>
      <c r="AB8" s="26"/>
      <c r="AC8" s="27"/>
      <c r="AD8" s="26"/>
      <c r="AE8" s="27"/>
      <c r="AF8" s="27"/>
      <c r="AG8" s="27"/>
      <c r="AH8" s="16">
        <f t="shared" si="12"/>
        <v>0</v>
      </c>
    </row>
    <row r="9" spans="1:34" ht="13">
      <c r="A9" s="48" t="s">
        <v>80</v>
      </c>
      <c r="B9" s="44">
        <v>43051</v>
      </c>
      <c r="C9" s="45" t="s">
        <v>50</v>
      </c>
      <c r="D9" s="43"/>
      <c r="E9" s="46" t="s">
        <v>51</v>
      </c>
      <c r="F9" s="45">
        <v>62</v>
      </c>
      <c r="G9" s="14">
        <f t="shared" si="8"/>
        <v>344</v>
      </c>
      <c r="H9" s="8">
        <f>ROUND(PRODUCT(G9/6),0)</f>
        <v>57</v>
      </c>
      <c r="I9" s="8">
        <f>ROUND(PRODUCT(G9/COUNT(F4:F9)),0)</f>
        <v>69</v>
      </c>
      <c r="J9" s="37">
        <v>0.20069444444444443</v>
      </c>
      <c r="K9" s="18">
        <f t="shared" si="5"/>
        <v>0.97291666666666654</v>
      </c>
      <c r="L9" s="41">
        <f t="shared" si="0"/>
        <v>12.9</v>
      </c>
      <c r="M9" s="33"/>
      <c r="N9" s="37">
        <v>0.25</v>
      </c>
      <c r="O9" s="18">
        <f t="shared" si="6"/>
        <v>1.5625000000000002</v>
      </c>
      <c r="P9" s="41">
        <f t="shared" si="1"/>
        <v>10.3</v>
      </c>
      <c r="Q9" s="18">
        <f t="shared" si="2"/>
        <v>4.9305555555555575E-2</v>
      </c>
      <c r="R9" s="18">
        <f t="shared" si="9"/>
        <v>0.58958333333333346</v>
      </c>
      <c r="S9" s="26"/>
      <c r="T9" s="26"/>
      <c r="U9" s="15">
        <f t="shared" si="10"/>
        <v>0</v>
      </c>
      <c r="V9" s="26"/>
      <c r="W9" s="15">
        <f t="shared" si="7"/>
        <v>0</v>
      </c>
      <c r="X9" s="8">
        <f t="shared" si="3"/>
        <v>0</v>
      </c>
      <c r="Y9" s="15">
        <f t="shared" si="11"/>
        <v>0</v>
      </c>
      <c r="Z9" s="15">
        <f t="shared" si="4"/>
        <v>0</v>
      </c>
      <c r="AA9" s="26"/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8" t="s">
        <v>81</v>
      </c>
      <c r="B10" s="44">
        <v>43052</v>
      </c>
      <c r="C10" s="45" t="s">
        <v>51</v>
      </c>
      <c r="D10" s="43" t="s">
        <v>67</v>
      </c>
      <c r="E10" s="46" t="s">
        <v>68</v>
      </c>
      <c r="F10" s="45">
        <v>65</v>
      </c>
      <c r="G10" s="14">
        <f t="shared" si="8"/>
        <v>409</v>
      </c>
      <c r="H10" s="8">
        <f>ROUND(PRODUCT(G10/7),0)</f>
        <v>58</v>
      </c>
      <c r="I10" s="8">
        <f>ROUND(PRODUCT(G10/COUNT(F4:F10)),0)</f>
        <v>68</v>
      </c>
      <c r="J10" s="37">
        <v>0.23472222222222219</v>
      </c>
      <c r="K10" s="18">
        <f t="shared" si="5"/>
        <v>1.2076388888888887</v>
      </c>
      <c r="L10" s="41">
        <f t="shared" si="0"/>
        <v>11.5</v>
      </c>
      <c r="M10" s="32"/>
      <c r="N10" s="37">
        <v>0.41666666666666669</v>
      </c>
      <c r="O10" s="18">
        <f t="shared" si="6"/>
        <v>1.979166666666667</v>
      </c>
      <c r="P10" s="41">
        <f t="shared" si="1"/>
        <v>6.5</v>
      </c>
      <c r="Q10" s="18">
        <f t="shared" si="2"/>
        <v>0.18194444444444449</v>
      </c>
      <c r="R10" s="18">
        <f t="shared" si="9"/>
        <v>0.77152777777777792</v>
      </c>
      <c r="S10" s="26"/>
      <c r="T10" s="8"/>
      <c r="U10" s="15">
        <f t="shared" si="10"/>
        <v>0</v>
      </c>
      <c r="V10" s="26"/>
      <c r="W10" s="15">
        <f t="shared" si="7"/>
        <v>0</v>
      </c>
      <c r="X10" s="8">
        <f t="shared" si="3"/>
        <v>0</v>
      </c>
      <c r="Y10" s="15">
        <f t="shared" si="11"/>
        <v>0</v>
      </c>
      <c r="Z10" s="15">
        <f t="shared" si="4"/>
        <v>0</v>
      </c>
      <c r="AA10" s="8"/>
      <c r="AB10" s="8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9" t="s">
        <v>82</v>
      </c>
      <c r="B11" s="44">
        <v>43053</v>
      </c>
      <c r="C11" s="45" t="s">
        <v>68</v>
      </c>
      <c r="D11" s="43" t="s">
        <v>52</v>
      </c>
      <c r="E11" s="46" t="s">
        <v>53</v>
      </c>
      <c r="F11" s="45">
        <v>89</v>
      </c>
      <c r="G11" s="14">
        <f t="shared" si="8"/>
        <v>498</v>
      </c>
      <c r="H11" s="8">
        <f>ROUND(PRODUCT(G11/8),0)</f>
        <v>62</v>
      </c>
      <c r="I11" s="8">
        <f>ROUND(PRODUCT(G11/COUNT(F4:F11)),0)</f>
        <v>71</v>
      </c>
      <c r="J11" s="37">
        <v>0.25138888888888888</v>
      </c>
      <c r="K11" s="18">
        <f t="shared" si="5"/>
        <v>1.4590277777777776</v>
      </c>
      <c r="L11" s="41">
        <f t="shared" si="0"/>
        <v>14.8</v>
      </c>
      <c r="M11" s="33"/>
      <c r="N11" s="37">
        <v>0.47916666666666669</v>
      </c>
      <c r="O11" s="18">
        <f t="shared" si="6"/>
        <v>2.4583333333333335</v>
      </c>
      <c r="P11" s="41">
        <f t="shared" si="1"/>
        <v>7.7</v>
      </c>
      <c r="Q11" s="18">
        <f t="shared" si="2"/>
        <v>0.2277777777777778</v>
      </c>
      <c r="R11" s="18">
        <f t="shared" si="9"/>
        <v>0.99930555555555567</v>
      </c>
      <c r="S11" s="26"/>
      <c r="T11" s="26"/>
      <c r="U11" s="15">
        <f t="shared" si="10"/>
        <v>0</v>
      </c>
      <c r="V11" s="26"/>
      <c r="W11" s="15">
        <f t="shared" si="7"/>
        <v>0</v>
      </c>
      <c r="X11" s="8">
        <f t="shared" si="3"/>
        <v>0</v>
      </c>
      <c r="Y11" s="15">
        <f t="shared" si="11"/>
        <v>0</v>
      </c>
      <c r="Z11" s="15">
        <f t="shared" si="4"/>
        <v>0</v>
      </c>
      <c r="AA11" s="26"/>
      <c r="AB11" s="26"/>
      <c r="AC11" s="27"/>
      <c r="AD11" s="26"/>
      <c r="AE11" s="27"/>
      <c r="AF11" s="27"/>
      <c r="AG11" s="27"/>
      <c r="AH11" s="16">
        <f t="shared" si="12"/>
        <v>0</v>
      </c>
    </row>
    <row r="12" spans="1:34" ht="13">
      <c r="A12" s="49" t="s">
        <v>83</v>
      </c>
      <c r="B12" s="44">
        <v>43054</v>
      </c>
      <c r="C12" s="45" t="s">
        <v>53</v>
      </c>
      <c r="D12" s="43" t="s">
        <v>54</v>
      </c>
      <c r="E12" s="46" t="s">
        <v>55</v>
      </c>
      <c r="F12" s="45">
        <v>99</v>
      </c>
      <c r="G12" s="14">
        <f t="shared" si="8"/>
        <v>597</v>
      </c>
      <c r="H12" s="8">
        <f>ROUND(PRODUCT(G12/9),0)</f>
        <v>66</v>
      </c>
      <c r="I12" s="8">
        <f>ROUND(PRODUCT(G12/COUNT(F4:F12)),0)</f>
        <v>75</v>
      </c>
      <c r="J12" s="37">
        <v>0.25</v>
      </c>
      <c r="K12" s="18">
        <f t="shared" si="5"/>
        <v>1.7090277777777776</v>
      </c>
      <c r="L12" s="41">
        <f t="shared" si="0"/>
        <v>16.5</v>
      </c>
      <c r="M12" s="32"/>
      <c r="N12" s="37">
        <v>0.33333333333333331</v>
      </c>
      <c r="O12" s="18">
        <f t="shared" si="6"/>
        <v>2.791666666666667</v>
      </c>
      <c r="P12" s="41">
        <f t="shared" si="1"/>
        <v>12.4</v>
      </c>
      <c r="Q12" s="18">
        <f t="shared" si="2"/>
        <v>8.3333333333333315E-2</v>
      </c>
      <c r="R12" s="18">
        <f t="shared" si="9"/>
        <v>1.0826388888888889</v>
      </c>
      <c r="S12" s="26"/>
      <c r="T12" s="26"/>
      <c r="U12" s="15">
        <f t="shared" si="10"/>
        <v>0</v>
      </c>
      <c r="V12" s="26"/>
      <c r="W12" s="15">
        <f t="shared" si="7"/>
        <v>0</v>
      </c>
      <c r="X12" s="8">
        <f t="shared" si="3"/>
        <v>0</v>
      </c>
      <c r="Y12" s="15">
        <f t="shared" si="11"/>
        <v>0</v>
      </c>
      <c r="Z12" s="15">
        <f t="shared" si="4"/>
        <v>0</v>
      </c>
      <c r="AA12" s="26"/>
      <c r="AB12" s="26"/>
      <c r="AC12" s="27"/>
      <c r="AD12" s="26"/>
      <c r="AE12" s="27"/>
      <c r="AF12" s="27"/>
      <c r="AG12" s="27"/>
      <c r="AH12" s="16">
        <f t="shared" si="12"/>
        <v>0</v>
      </c>
    </row>
    <row r="13" spans="1:34" ht="13">
      <c r="A13" s="43" t="s">
        <v>5</v>
      </c>
      <c r="B13" s="44">
        <v>43055</v>
      </c>
      <c r="C13" s="45" t="s">
        <v>55</v>
      </c>
      <c r="D13" s="43" t="s">
        <v>56</v>
      </c>
      <c r="E13" s="46" t="s">
        <v>57</v>
      </c>
      <c r="F13" s="45">
        <v>87</v>
      </c>
      <c r="G13" s="14">
        <f t="shared" si="8"/>
        <v>684</v>
      </c>
      <c r="H13" s="8">
        <f>ROUND(PRODUCT(G13/10),0)</f>
        <v>68</v>
      </c>
      <c r="I13" s="8">
        <f>ROUND(PRODUCT(G13/COUNT(F4:F13)),0)</f>
        <v>76</v>
      </c>
      <c r="J13" s="37">
        <v>0.24444444444444446</v>
      </c>
      <c r="K13" s="18">
        <f t="shared" si="5"/>
        <v>1.9534722222222221</v>
      </c>
      <c r="L13" s="41">
        <f t="shared" si="0"/>
        <v>14.8</v>
      </c>
      <c r="M13" s="33"/>
      <c r="N13" s="37">
        <v>0.41666666666666669</v>
      </c>
      <c r="O13" s="18">
        <f t="shared" si="6"/>
        <v>3.2083333333333335</v>
      </c>
      <c r="P13" s="41">
        <f t="shared" si="1"/>
        <v>8.6999999999999993</v>
      </c>
      <c r="Q13" s="18">
        <f t="shared" si="2"/>
        <v>0.17222222222222222</v>
      </c>
      <c r="R13" s="18">
        <f t="shared" si="9"/>
        <v>1.2548611111111112</v>
      </c>
      <c r="S13" s="26"/>
      <c r="T13" s="26"/>
      <c r="U13" s="15">
        <f t="shared" si="10"/>
        <v>0</v>
      </c>
      <c r="V13" s="26"/>
      <c r="W13" s="15">
        <f t="shared" si="7"/>
        <v>0</v>
      </c>
      <c r="X13" s="8">
        <f t="shared" si="3"/>
        <v>0</v>
      </c>
      <c r="Y13" s="15">
        <f t="shared" si="11"/>
        <v>0</v>
      </c>
      <c r="Z13" s="15">
        <f t="shared" si="4"/>
        <v>0</v>
      </c>
      <c r="AA13" s="26"/>
      <c r="AB13" s="26"/>
      <c r="AC13" s="27"/>
      <c r="AD13" s="26"/>
      <c r="AE13" s="27"/>
      <c r="AF13" s="27"/>
      <c r="AG13" s="27"/>
      <c r="AH13" s="16">
        <f t="shared" si="12"/>
        <v>0</v>
      </c>
    </row>
    <row r="14" spans="1:34" ht="13">
      <c r="A14" s="43" t="s">
        <v>7</v>
      </c>
      <c r="B14" s="44">
        <v>43056</v>
      </c>
      <c r="C14" s="45"/>
      <c r="D14" s="43" t="s">
        <v>69</v>
      </c>
      <c r="E14" s="46"/>
      <c r="F14" s="45"/>
      <c r="G14" s="14">
        <f t="shared" si="8"/>
        <v>684</v>
      </c>
      <c r="H14" s="8">
        <f>ROUND(PRODUCT(G14/11),0)</f>
        <v>62</v>
      </c>
      <c r="I14" s="8">
        <f>ROUND(PRODUCT(G14/COUNT(F4:F14)),0)</f>
        <v>76</v>
      </c>
      <c r="J14" s="37"/>
      <c r="K14" s="18">
        <f t="shared" si="5"/>
        <v>1.9534722222222221</v>
      </c>
      <c r="L14" s="41">
        <f t="shared" si="0"/>
        <v>0</v>
      </c>
      <c r="M14" s="33"/>
      <c r="N14" s="37"/>
      <c r="O14" s="18">
        <f t="shared" si="6"/>
        <v>3.2083333333333335</v>
      </c>
      <c r="P14" s="41">
        <f t="shared" si="1"/>
        <v>0</v>
      </c>
      <c r="Q14" s="18">
        <f t="shared" si="2"/>
        <v>0</v>
      </c>
      <c r="R14" s="18">
        <f t="shared" si="9"/>
        <v>1.2548611111111112</v>
      </c>
      <c r="S14" s="26"/>
      <c r="T14" s="26"/>
      <c r="U14" s="15">
        <f t="shared" si="10"/>
        <v>0</v>
      </c>
      <c r="V14" s="26"/>
      <c r="W14" s="15">
        <f t="shared" si="7"/>
        <v>0</v>
      </c>
      <c r="X14" s="8">
        <f t="shared" si="3"/>
        <v>0</v>
      </c>
      <c r="Y14" s="15">
        <f t="shared" si="11"/>
        <v>0</v>
      </c>
      <c r="Z14" s="15">
        <f t="shared" si="4"/>
        <v>0</v>
      </c>
      <c r="AA14" s="26"/>
      <c r="AB14" s="26"/>
      <c r="AC14" s="27"/>
      <c r="AD14" s="26"/>
      <c r="AE14" s="27"/>
      <c r="AF14" s="27"/>
      <c r="AG14" s="27"/>
      <c r="AH14" s="16">
        <f t="shared" si="12"/>
        <v>0</v>
      </c>
    </row>
    <row r="15" spans="1:34" ht="13">
      <c r="A15" s="43" t="s">
        <v>35</v>
      </c>
      <c r="B15" s="44">
        <v>43057</v>
      </c>
      <c r="C15" s="45" t="s">
        <v>57</v>
      </c>
      <c r="D15" s="43" t="s">
        <v>70</v>
      </c>
      <c r="E15" s="46" t="s">
        <v>58</v>
      </c>
      <c r="F15" s="45">
        <v>49</v>
      </c>
      <c r="G15" s="14">
        <f t="shared" si="8"/>
        <v>733</v>
      </c>
      <c r="H15" s="8">
        <f>ROUND(PRODUCT(G15/12),0)</f>
        <v>61</v>
      </c>
      <c r="I15" s="8">
        <f>ROUND(PRODUCT(G15/COUNT(F4:F15)),0)</f>
        <v>73</v>
      </c>
      <c r="J15" s="37">
        <v>0.15</v>
      </c>
      <c r="K15" s="18">
        <f t="shared" si="5"/>
        <v>2.103472222222222</v>
      </c>
      <c r="L15" s="41">
        <f t="shared" si="0"/>
        <v>13.6</v>
      </c>
      <c r="M15" s="32"/>
      <c r="N15" s="37">
        <v>0.27083333333333331</v>
      </c>
      <c r="O15" s="18">
        <f t="shared" si="6"/>
        <v>3.479166666666667</v>
      </c>
      <c r="P15" s="41">
        <f t="shared" si="1"/>
        <v>7.5</v>
      </c>
      <c r="Q15" s="18">
        <f t="shared" si="2"/>
        <v>0.12083333333333332</v>
      </c>
      <c r="R15" s="18">
        <f t="shared" si="9"/>
        <v>1.3756944444444446</v>
      </c>
      <c r="S15" s="8"/>
      <c r="T15" s="8"/>
      <c r="U15" s="15">
        <f t="shared" si="10"/>
        <v>0</v>
      </c>
      <c r="V15" s="26"/>
      <c r="W15" s="15">
        <f t="shared" si="7"/>
        <v>0</v>
      </c>
      <c r="X15" s="8">
        <f t="shared" si="3"/>
        <v>0</v>
      </c>
      <c r="Y15" s="15">
        <f t="shared" si="11"/>
        <v>0</v>
      </c>
      <c r="Z15" s="15">
        <f t="shared" si="4"/>
        <v>0</v>
      </c>
      <c r="AA15" s="8"/>
      <c r="AB15" s="8"/>
      <c r="AC15" s="27"/>
      <c r="AD15" s="26"/>
      <c r="AE15" s="27"/>
      <c r="AF15" s="27"/>
      <c r="AG15" s="27"/>
      <c r="AH15" s="16">
        <f t="shared" si="12"/>
        <v>0</v>
      </c>
    </row>
    <row r="16" spans="1:34" ht="13">
      <c r="A16" s="43" t="s">
        <v>36</v>
      </c>
      <c r="B16" s="44">
        <v>43058</v>
      </c>
      <c r="C16" s="45" t="s">
        <v>58</v>
      </c>
      <c r="D16" s="43" t="s">
        <v>59</v>
      </c>
      <c r="E16" s="46" t="s">
        <v>60</v>
      </c>
      <c r="F16" s="45">
        <v>82</v>
      </c>
      <c r="G16" s="14">
        <f t="shared" si="8"/>
        <v>815</v>
      </c>
      <c r="H16" s="8">
        <f>ROUND(PRODUCT(G16/13),0)</f>
        <v>63</v>
      </c>
      <c r="I16" s="8">
        <f>ROUND(PRODUCT(G16/COUNT(F4:F16)),0)</f>
        <v>74</v>
      </c>
      <c r="J16" s="37">
        <v>0.24722222222222223</v>
      </c>
      <c r="K16" s="18">
        <f t="shared" si="5"/>
        <v>2.3506944444444442</v>
      </c>
      <c r="L16" s="41">
        <f t="shared" si="0"/>
        <v>13.8</v>
      </c>
      <c r="M16" s="32"/>
      <c r="N16" s="37">
        <v>0.35416666666666669</v>
      </c>
      <c r="O16" s="18">
        <f t="shared" si="6"/>
        <v>3.8333333333333335</v>
      </c>
      <c r="P16" s="41">
        <f t="shared" si="1"/>
        <v>9.6</v>
      </c>
      <c r="Q16" s="18">
        <f t="shared" si="2"/>
        <v>0.10694444444444445</v>
      </c>
      <c r="R16" s="18">
        <f t="shared" si="9"/>
        <v>1.4826388888888891</v>
      </c>
      <c r="S16" s="26"/>
      <c r="T16" s="26"/>
      <c r="U16" s="15">
        <f t="shared" si="10"/>
        <v>0</v>
      </c>
      <c r="V16" s="26"/>
      <c r="W16" s="15">
        <f t="shared" si="7"/>
        <v>0</v>
      </c>
      <c r="X16" s="8">
        <f t="shared" si="3"/>
        <v>0</v>
      </c>
      <c r="Y16" s="15">
        <f t="shared" si="11"/>
        <v>0</v>
      </c>
      <c r="Z16" s="15">
        <f t="shared" si="4"/>
        <v>0</v>
      </c>
      <c r="AA16" s="26"/>
      <c r="AB16" s="26"/>
      <c r="AC16" s="27"/>
      <c r="AD16" s="26"/>
      <c r="AE16" s="27"/>
      <c r="AF16" s="27"/>
      <c r="AG16" s="27"/>
      <c r="AH16" s="16">
        <f t="shared" si="12"/>
        <v>0</v>
      </c>
    </row>
    <row r="17" spans="1:34" ht="13">
      <c r="A17" s="43" t="s">
        <v>37</v>
      </c>
      <c r="B17" s="44">
        <v>43059</v>
      </c>
      <c r="C17" s="45" t="s">
        <v>60</v>
      </c>
      <c r="D17" s="43" t="s">
        <v>71</v>
      </c>
      <c r="E17" s="46" t="s">
        <v>72</v>
      </c>
      <c r="F17" s="45">
        <v>66</v>
      </c>
      <c r="G17" s="14">
        <f t="shared" si="8"/>
        <v>881</v>
      </c>
      <c r="H17" s="8">
        <f>ROUND(PRODUCT(G17/14),0)</f>
        <v>63</v>
      </c>
      <c r="I17" s="8">
        <f>ROUND(PRODUCT(G17/COUNT(F4:F17)),0)</f>
        <v>73</v>
      </c>
      <c r="J17" s="37">
        <v>0.17083333333333331</v>
      </c>
      <c r="K17" s="18">
        <f t="shared" si="5"/>
        <v>2.5215277777777776</v>
      </c>
      <c r="L17" s="41">
        <f t="shared" si="0"/>
        <v>16.100000000000001</v>
      </c>
      <c r="M17" s="32"/>
      <c r="N17" s="37">
        <v>0.22916666666666666</v>
      </c>
      <c r="O17" s="18">
        <f t="shared" si="6"/>
        <v>4.0625</v>
      </c>
      <c r="P17" s="41">
        <f t="shared" si="1"/>
        <v>12</v>
      </c>
      <c r="Q17" s="18">
        <f t="shared" si="2"/>
        <v>5.8333333333333348E-2</v>
      </c>
      <c r="R17" s="18">
        <f t="shared" si="9"/>
        <v>1.5409722222222224</v>
      </c>
      <c r="S17" s="26"/>
      <c r="T17" s="26"/>
      <c r="U17" s="15">
        <f t="shared" si="10"/>
        <v>0</v>
      </c>
      <c r="V17" s="26"/>
      <c r="W17" s="15">
        <f t="shared" si="7"/>
        <v>0</v>
      </c>
      <c r="X17" s="8">
        <f t="shared" si="3"/>
        <v>0</v>
      </c>
      <c r="Y17" s="15">
        <f t="shared" si="11"/>
        <v>0</v>
      </c>
      <c r="Z17" s="15">
        <f t="shared" si="4"/>
        <v>0</v>
      </c>
      <c r="AA17" s="26"/>
      <c r="AB17" s="26"/>
      <c r="AC17" s="27"/>
      <c r="AD17" s="26"/>
      <c r="AE17" s="27"/>
      <c r="AF17" s="27"/>
      <c r="AG17" s="27"/>
      <c r="AH17" s="16">
        <f t="shared" si="12"/>
        <v>0</v>
      </c>
    </row>
    <row r="18" spans="1:34" ht="13">
      <c r="A18" s="43" t="s">
        <v>38</v>
      </c>
      <c r="B18" s="44">
        <v>43060</v>
      </c>
      <c r="C18" s="45" t="s">
        <v>72</v>
      </c>
      <c r="D18" s="43" t="s">
        <v>74</v>
      </c>
      <c r="E18" s="46" t="s">
        <v>73</v>
      </c>
      <c r="F18" s="45">
        <v>66</v>
      </c>
      <c r="G18" s="14">
        <f t="shared" si="8"/>
        <v>947</v>
      </c>
      <c r="H18" s="8">
        <f>ROUND(PRODUCT(G18/15),0)</f>
        <v>63</v>
      </c>
      <c r="I18" s="8">
        <f>ROUND(PRODUCT(G18/COUNT(F4:F18)),0)</f>
        <v>73</v>
      </c>
      <c r="J18" s="37">
        <v>0.22638888888888889</v>
      </c>
      <c r="K18" s="18">
        <f t="shared" si="5"/>
        <v>2.7479166666666663</v>
      </c>
      <c r="L18" s="41">
        <f t="shared" si="0"/>
        <v>12.1</v>
      </c>
      <c r="M18" s="32"/>
      <c r="N18" s="37">
        <v>0.375</v>
      </c>
      <c r="O18" s="18">
        <f t="shared" si="6"/>
        <v>4.4375</v>
      </c>
      <c r="P18" s="41">
        <f t="shared" si="1"/>
        <v>7.3</v>
      </c>
      <c r="Q18" s="18">
        <f t="shared" si="2"/>
        <v>0.14861111111111111</v>
      </c>
      <c r="R18" s="18">
        <f t="shared" si="9"/>
        <v>1.6895833333333334</v>
      </c>
      <c r="S18" s="26"/>
      <c r="T18" s="26"/>
      <c r="U18" s="15">
        <f t="shared" si="10"/>
        <v>0</v>
      </c>
      <c r="V18" s="26"/>
      <c r="W18" s="15">
        <f t="shared" si="7"/>
        <v>0</v>
      </c>
      <c r="X18" s="8">
        <f t="shared" si="3"/>
        <v>0</v>
      </c>
      <c r="Y18" s="15">
        <f t="shared" si="11"/>
        <v>0</v>
      </c>
      <c r="Z18" s="15">
        <f t="shared" si="4"/>
        <v>0</v>
      </c>
      <c r="AA18" s="26"/>
      <c r="AB18" s="26"/>
      <c r="AC18" s="27"/>
      <c r="AD18" s="26"/>
      <c r="AE18" s="27"/>
      <c r="AF18" s="27"/>
      <c r="AG18" s="27"/>
      <c r="AH18" s="16">
        <f t="shared" si="12"/>
        <v>0</v>
      </c>
    </row>
    <row r="19" spans="1:34" ht="13">
      <c r="A19" s="43" t="s">
        <v>41</v>
      </c>
      <c r="B19" s="44">
        <v>43061</v>
      </c>
      <c r="C19" s="45" t="s">
        <v>73</v>
      </c>
      <c r="D19" s="43"/>
      <c r="E19" s="46" t="s">
        <v>61</v>
      </c>
      <c r="F19" s="45">
        <v>29</v>
      </c>
      <c r="G19" s="14">
        <f t="shared" si="8"/>
        <v>976</v>
      </c>
      <c r="H19" s="8">
        <f>ROUND(PRODUCT(G19/16),0)</f>
        <v>61</v>
      </c>
      <c r="I19" s="8">
        <f>ROUND(PRODUCT(G19/COUNT(F4:F19)),0)</f>
        <v>70</v>
      </c>
      <c r="J19" s="37">
        <v>9.930555555555555E-2</v>
      </c>
      <c r="K19" s="18">
        <f t="shared" si="5"/>
        <v>2.8472222222222219</v>
      </c>
      <c r="L19" s="41">
        <f t="shared" si="0"/>
        <v>12.2</v>
      </c>
      <c r="M19" s="32"/>
      <c r="N19" s="37">
        <v>0.125</v>
      </c>
      <c r="O19" s="18">
        <f t="shared" si="6"/>
        <v>4.5625</v>
      </c>
      <c r="P19" s="41">
        <f t="shared" si="1"/>
        <v>9.6999999999999993</v>
      </c>
      <c r="Q19" s="18">
        <f t="shared" si="2"/>
        <v>2.569444444444445E-2</v>
      </c>
      <c r="R19" s="18">
        <f t="shared" si="9"/>
        <v>1.7152777777777779</v>
      </c>
      <c r="S19" s="26"/>
      <c r="T19" s="26"/>
      <c r="U19" s="15">
        <f t="shared" si="10"/>
        <v>0</v>
      </c>
      <c r="V19" s="26"/>
      <c r="W19" s="15">
        <f t="shared" si="7"/>
        <v>0</v>
      </c>
      <c r="X19" s="8">
        <f t="shared" si="3"/>
        <v>0</v>
      </c>
      <c r="Y19" s="15">
        <f t="shared" si="11"/>
        <v>0</v>
      </c>
      <c r="Z19" s="15">
        <f t="shared" si="4"/>
        <v>0</v>
      </c>
      <c r="AA19" s="26"/>
      <c r="AB19" s="26"/>
      <c r="AC19" s="27"/>
      <c r="AD19" s="26"/>
      <c r="AE19" s="27"/>
      <c r="AF19" s="27"/>
      <c r="AG19" s="27"/>
      <c r="AH19" s="16">
        <f t="shared" si="12"/>
        <v>0</v>
      </c>
    </row>
    <row r="20" spans="1:34" ht="13">
      <c r="A20" s="43" t="s">
        <v>42</v>
      </c>
      <c r="B20" s="44">
        <v>43062</v>
      </c>
      <c r="C20" s="45" t="s">
        <v>61</v>
      </c>
      <c r="D20" s="43"/>
      <c r="E20" s="46" t="s">
        <v>62</v>
      </c>
      <c r="F20" s="45">
        <v>130</v>
      </c>
      <c r="G20" s="14">
        <f t="shared" si="8"/>
        <v>1106</v>
      </c>
      <c r="H20" s="8">
        <f>ROUND(PRODUCT(G20/17),0)</f>
        <v>65</v>
      </c>
      <c r="I20" s="8">
        <f>ROUND(PRODUCT(G20/COUNT(F4:F20)),0)</f>
        <v>74</v>
      </c>
      <c r="J20" s="37">
        <v>0.3125</v>
      </c>
      <c r="K20" s="18">
        <f t="shared" si="5"/>
        <v>3.1597222222222219</v>
      </c>
      <c r="L20" s="41">
        <f t="shared" si="0"/>
        <v>17.3</v>
      </c>
      <c r="M20" s="32"/>
      <c r="N20" s="37">
        <v>0.41666666666666669</v>
      </c>
      <c r="O20" s="18">
        <f t="shared" si="6"/>
        <v>4.979166666666667</v>
      </c>
      <c r="P20" s="41">
        <f t="shared" si="1"/>
        <v>13</v>
      </c>
      <c r="Q20" s="18">
        <f t="shared" si="2"/>
        <v>0.10416666666666669</v>
      </c>
      <c r="R20" s="18">
        <f t="shared" si="9"/>
        <v>1.8194444444444446</v>
      </c>
      <c r="S20" s="26"/>
      <c r="T20" s="8"/>
      <c r="U20" s="15">
        <f t="shared" si="10"/>
        <v>0</v>
      </c>
      <c r="V20" s="26"/>
      <c r="W20" s="15">
        <f t="shared" si="7"/>
        <v>0</v>
      </c>
      <c r="X20" s="8">
        <f t="shared" si="3"/>
        <v>0</v>
      </c>
      <c r="Y20" s="15">
        <f t="shared" si="11"/>
        <v>0</v>
      </c>
      <c r="Z20" s="15">
        <f t="shared" si="4"/>
        <v>0</v>
      </c>
      <c r="AA20" s="26"/>
      <c r="AB20" s="26"/>
      <c r="AC20" s="27"/>
      <c r="AD20" s="26"/>
      <c r="AE20" s="27"/>
      <c r="AF20" s="27"/>
      <c r="AG20" s="27"/>
      <c r="AH20" s="16">
        <f t="shared" si="12"/>
        <v>0</v>
      </c>
    </row>
    <row r="21" spans="1:34" ht="13">
      <c r="A21" s="43" t="s">
        <v>43</v>
      </c>
      <c r="B21" s="44">
        <v>43063</v>
      </c>
      <c r="C21" s="45" t="s">
        <v>62</v>
      </c>
      <c r="D21" s="43"/>
      <c r="E21" s="46" t="s">
        <v>63</v>
      </c>
      <c r="F21" s="45">
        <v>59</v>
      </c>
      <c r="G21" s="14">
        <f t="shared" si="8"/>
        <v>1165</v>
      </c>
      <c r="H21" s="8">
        <f>ROUND(PRODUCT(G21/18),0)</f>
        <v>65</v>
      </c>
      <c r="I21" s="8">
        <f>ROUND(PRODUCT(G21/COUNT(F4:F21)),0)</f>
        <v>73</v>
      </c>
      <c r="J21" s="37">
        <v>0.15486111111111112</v>
      </c>
      <c r="K21" s="18">
        <f t="shared" si="5"/>
        <v>3.3145833333333332</v>
      </c>
      <c r="L21" s="41">
        <f t="shared" si="0"/>
        <v>15.9</v>
      </c>
      <c r="M21" s="33"/>
      <c r="N21" s="37">
        <v>0.33333333333333331</v>
      </c>
      <c r="O21" s="18">
        <f t="shared" si="6"/>
        <v>5.3125</v>
      </c>
      <c r="P21" s="41">
        <f t="shared" si="1"/>
        <v>7.4</v>
      </c>
      <c r="Q21" s="18">
        <f t="shared" si="2"/>
        <v>0.1784722222222222</v>
      </c>
      <c r="R21" s="18">
        <f t="shared" si="9"/>
        <v>1.9979166666666668</v>
      </c>
      <c r="S21" s="26"/>
      <c r="T21" s="26"/>
      <c r="U21" s="15">
        <f t="shared" si="10"/>
        <v>0</v>
      </c>
      <c r="V21" s="26"/>
      <c r="W21" s="15">
        <f t="shared" si="7"/>
        <v>0</v>
      </c>
      <c r="X21" s="8">
        <f t="shared" si="3"/>
        <v>0</v>
      </c>
      <c r="Y21" s="15">
        <f t="shared" si="11"/>
        <v>0</v>
      </c>
      <c r="Z21" s="15">
        <f t="shared" si="4"/>
        <v>0</v>
      </c>
      <c r="AA21" s="26"/>
      <c r="AB21" s="26"/>
      <c r="AC21" s="27"/>
      <c r="AD21" s="26"/>
      <c r="AE21" s="27"/>
      <c r="AF21" s="27"/>
      <c r="AG21" s="27"/>
      <c r="AH21" s="16">
        <f t="shared" si="12"/>
        <v>0</v>
      </c>
    </row>
    <row r="22" spans="1:34" ht="13">
      <c r="A22" s="28" t="s">
        <v>6</v>
      </c>
      <c r="B22" s="57"/>
      <c r="C22" s="58"/>
      <c r="D22" s="58"/>
      <c r="E22" s="59"/>
      <c r="F22" s="29">
        <f>SUM(F4:F21)</f>
        <v>1165</v>
      </c>
      <c r="G22" s="19">
        <f>SUM(G21)</f>
        <v>1165</v>
      </c>
      <c r="H22" s="19">
        <f>SUM(H21)</f>
        <v>65</v>
      </c>
      <c r="I22" s="19">
        <f>SUM(I21)</f>
        <v>73</v>
      </c>
      <c r="J22" s="20">
        <f>SUM(J4:J21)</f>
        <v>3.3145833333333332</v>
      </c>
      <c r="K22" s="35">
        <f>F22/SUM(HOUR(J22)+(ROUNDDOWN(J22,0)*24),PRODUCT(MINUTE(J22)/60))</f>
        <v>14.644877435575111</v>
      </c>
      <c r="L22" s="40">
        <f>SUM(L4:L21)/(COUNT(F4:F21))</f>
        <v>14.53125</v>
      </c>
      <c r="M22" s="42" t="e">
        <f>PRODUCT(SUM(M4:M21),1/COUNT(M4:M21))</f>
        <v>#DIV/0!</v>
      </c>
      <c r="N22" s="20">
        <f>SUM(N4:N21)</f>
        <v>5.3125</v>
      </c>
      <c r="O22" s="35">
        <f>F22/SUM(HOUR(N22)+(ROUNDDOWN(N22,0)*24),PRODUCT(MINUTE(N22)/60))</f>
        <v>9.1372549019607838</v>
      </c>
      <c r="P22" s="40">
        <f>SUM(P4:P21)/COUNT(F4:F21)</f>
        <v>9.28125</v>
      </c>
      <c r="Q22" s="20">
        <f>SUM(Q4:Q21)</f>
        <v>1.9979166666666668</v>
      </c>
      <c r="R22" s="19"/>
      <c r="S22" s="19" t="e">
        <f>ROUND(SUM(S4:S21)/COUNT(S4:S21),0)</f>
        <v>#DIV/0!</v>
      </c>
      <c r="T22" s="19" t="e">
        <f>ROUND(SUM(T4:T21)/COUNT(T4:T21),0)</f>
        <v>#DIV/0!</v>
      </c>
      <c r="U22" s="21">
        <f>SUM(U4:U21)</f>
        <v>0</v>
      </c>
      <c r="V22" s="19" t="e">
        <f>ROUND(SUM(V4:V21)/COUNT(V4:V21),0)</f>
        <v>#DIV/0!</v>
      </c>
      <c r="W22" s="19" t="e">
        <f>SUM(#REF!)</f>
        <v>#REF!</v>
      </c>
      <c r="X22" s="19" t="e">
        <f>ROUND(SUM(X4:X21)/COUNT(V4:V21),0)</f>
        <v>#DIV/0!</v>
      </c>
      <c r="Y22" s="19" t="e">
        <f>SUM(#REF!)</f>
        <v>#REF!</v>
      </c>
      <c r="Z22" s="21">
        <f>SUM(Z4:Z21)</f>
        <v>0</v>
      </c>
      <c r="AA22" s="19" t="e">
        <f>ROUND(SUM(AA4:AA21)/COUNT(AA4:AA21),0)</f>
        <v>#DIV/0!</v>
      </c>
      <c r="AB22" s="34" t="e">
        <f t="shared" ref="AB22:AG22" si="13">SUM(AB4:AB21)/COUNT(AB4:AB21)</f>
        <v>#DIV/0!</v>
      </c>
      <c r="AC22" s="34" t="e">
        <f t="shared" si="13"/>
        <v>#DIV/0!</v>
      </c>
      <c r="AD22" s="34" t="e">
        <f t="shared" si="13"/>
        <v>#DIV/0!</v>
      </c>
      <c r="AE22" s="34" t="e">
        <f t="shared" si="13"/>
        <v>#DIV/0!</v>
      </c>
      <c r="AF22" s="34" t="e">
        <f t="shared" si="13"/>
        <v>#DIV/0!</v>
      </c>
      <c r="AG22" s="34" t="e">
        <f t="shared" si="13"/>
        <v>#DIV/0!</v>
      </c>
      <c r="AH22" s="34" t="e">
        <f>SUM(AH4:AH21)/COUNT(AG4:AG21)</f>
        <v>#DIV/0!</v>
      </c>
    </row>
    <row r="23" spans="1:34" ht="13">
      <c r="Q23" s="8"/>
      <c r="R23" s="8"/>
      <c r="S23" s="8"/>
      <c r="W23" s="15"/>
      <c r="Y23" s="15"/>
    </row>
    <row r="24" spans="1:34" ht="13">
      <c r="O24" s="8"/>
      <c r="P24" s="8"/>
      <c r="Q24" s="8"/>
      <c r="R24" s="30"/>
      <c r="S24" s="8"/>
      <c r="T24" s="8"/>
      <c r="U24" s="8"/>
      <c r="V24" s="8"/>
      <c r="W24" s="15"/>
      <c r="X24" s="8"/>
      <c r="Y24" s="15"/>
      <c r="Z24" s="8"/>
      <c r="AA24" s="8"/>
    </row>
    <row r="25" spans="1:34" ht="13">
      <c r="N25" s="39"/>
      <c r="O25" s="8"/>
      <c r="P25" s="8"/>
      <c r="Q25" s="38"/>
      <c r="R25" s="38"/>
      <c r="S25" s="8"/>
      <c r="T25" s="8"/>
      <c r="U25" s="8"/>
      <c r="V25" s="8"/>
      <c r="W25" s="8"/>
      <c r="X25" s="8"/>
      <c r="Y25" s="8"/>
      <c r="Z25" s="8"/>
      <c r="AA25" s="8"/>
    </row>
    <row r="26" spans="1:34" ht="13">
      <c r="O26" s="8"/>
      <c r="P26" s="8"/>
      <c r="Q26" s="38"/>
      <c r="R26" s="38"/>
      <c r="S26" s="8"/>
      <c r="T26" s="8"/>
      <c r="U26" s="8"/>
      <c r="V26" s="8"/>
      <c r="W26" s="8"/>
      <c r="X26" s="8"/>
      <c r="Y26" s="8"/>
      <c r="Z26" s="8"/>
      <c r="AA26" s="8"/>
    </row>
    <row r="27" spans="1:34" ht="13">
      <c r="O27" s="8"/>
      <c r="P27" s="8"/>
      <c r="Q27" s="8"/>
      <c r="R27" s="38"/>
      <c r="S27" s="8"/>
      <c r="T27" s="8"/>
      <c r="U27" s="8"/>
      <c r="V27" s="8"/>
      <c r="W27" s="8"/>
      <c r="X27" s="8"/>
      <c r="Y27" s="8"/>
      <c r="Z27" s="8"/>
      <c r="AA27" s="8"/>
    </row>
    <row r="28" spans="1:34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</sheetData>
  <mergeCells count="4">
    <mergeCell ref="A1:F1"/>
    <mergeCell ref="A2:F2"/>
    <mergeCell ref="G1:AH1"/>
    <mergeCell ref="B22:E2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2BCC1-EB19-403B-B35A-64FC56C7E37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3692-9FCE-4F5C-A75A-47533028E59D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2017-11-28T07:41:13Z</cp:lastPrinted>
  <dcterms:created xsi:type="dcterms:W3CDTF">2001-02-09T16:25:48Z</dcterms:created>
  <dcterms:modified xsi:type="dcterms:W3CDTF">2025-11-12T20:19:59Z</dcterms:modified>
</cp:coreProperties>
</file>