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C748400-9F65-4EEA-AF16-E9F23E76E3DA}" xr6:coauthVersionLast="47" xr6:coauthVersionMax="47" xr10:uidLastSave="{00000000-0000-0000-0000-000000000000}"/>
  <bookViews>
    <workbookView xWindow="-110" yWindow="-110" windowWidth="19420" windowHeight="10420" xr2:uid="{F0B9AF74-3158-4AD6-B41D-CA57A440EBD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R12" i="1"/>
  <c r="G4" i="1"/>
  <c r="H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X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Z4" i="1"/>
  <c r="AH4" i="1"/>
  <c r="G5" i="1"/>
  <c r="I5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R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R10" i="1"/>
  <c r="R11" i="1"/>
  <c r="U10" i="1"/>
  <c r="U20" i="1"/>
  <c r="X10" i="1"/>
  <c r="Z10" i="1"/>
  <c r="AH10" i="1"/>
  <c r="AH20" i="1"/>
  <c r="L11" i="1"/>
  <c r="P11" i="1"/>
  <c r="Q11" i="1"/>
  <c r="U11" i="1"/>
  <c r="X11" i="1"/>
  <c r="Z11" i="1"/>
  <c r="AH11" i="1"/>
  <c r="L12" i="1"/>
  <c r="P12" i="1"/>
  <c r="U12" i="1"/>
  <c r="X12" i="1"/>
  <c r="Z12" i="1"/>
  <c r="AH12" i="1"/>
  <c r="L13" i="1"/>
  <c r="P13" i="1"/>
  <c r="Q13" i="1"/>
  <c r="R13" i="1"/>
  <c r="U13" i="1"/>
  <c r="X13" i="1"/>
  <c r="Z13" i="1"/>
  <c r="AH13" i="1"/>
  <c r="L14" i="1"/>
  <c r="P14" i="1"/>
  <c r="Q14" i="1"/>
  <c r="R14" i="1"/>
  <c r="U14" i="1"/>
  <c r="X14" i="1"/>
  <c r="Z14" i="1"/>
  <c r="AH14" i="1"/>
  <c r="L15" i="1"/>
  <c r="P15" i="1"/>
  <c r="Q15" i="1"/>
  <c r="R15" i="1"/>
  <c r="U15" i="1"/>
  <c r="X15" i="1"/>
  <c r="Z15" i="1"/>
  <c r="AH15" i="1"/>
  <c r="L16" i="1"/>
  <c r="P16" i="1"/>
  <c r="Q16" i="1"/>
  <c r="R16" i="1"/>
  <c r="R17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R18" i="1"/>
  <c r="R19" i="1"/>
  <c r="U18" i="1"/>
  <c r="X18" i="1"/>
  <c r="Z18" i="1"/>
  <c r="AH18" i="1"/>
  <c r="L19" i="1"/>
  <c r="L20" i="1"/>
  <c r="P19" i="1"/>
  <c r="P20" i="1"/>
  <c r="Q19" i="1"/>
  <c r="Q20" i="1"/>
  <c r="U19" i="1"/>
  <c r="X19" i="1"/>
  <c r="Z19" i="1"/>
  <c r="AH19" i="1"/>
  <c r="F20" i="1"/>
  <c r="J20" i="1"/>
  <c r="M20" i="1"/>
  <c r="N20" i="1"/>
  <c r="S20" i="1"/>
  <c r="T20" i="1"/>
  <c r="V20" i="1"/>
  <c r="W20" i="1"/>
  <c r="Y20" i="1"/>
  <c r="AA20" i="1"/>
  <c r="AB20" i="1"/>
  <c r="AC20" i="1"/>
  <c r="AD20" i="1"/>
  <c r="AE20" i="1"/>
  <c r="AF20" i="1"/>
  <c r="AG20" i="1"/>
  <c r="G6" i="1"/>
  <c r="G7" i="1"/>
  <c r="H7" i="1"/>
  <c r="Z20" i="1"/>
  <c r="R5" i="1"/>
  <c r="X20" i="1"/>
  <c r="I4" i="1"/>
  <c r="H5" i="1"/>
  <c r="R6" i="1"/>
  <c r="G8" i="1"/>
  <c r="I8" i="1"/>
  <c r="G9" i="1"/>
  <c r="H9" i="1"/>
  <c r="I7" i="1"/>
  <c r="H6" i="1"/>
  <c r="I6" i="1"/>
  <c r="H8" i="1"/>
  <c r="R8" i="1"/>
  <c r="R9" i="1"/>
  <c r="G10" i="1"/>
  <c r="G11" i="1"/>
  <c r="I9" i="1"/>
  <c r="H11" i="1"/>
  <c r="G12" i="1"/>
  <c r="I12" i="1"/>
  <c r="I11" i="1"/>
  <c r="I10" i="1"/>
  <c r="H10" i="1"/>
  <c r="G13" i="1"/>
  <c r="G14" i="1"/>
  <c r="H14" i="1"/>
  <c r="H13" i="1"/>
  <c r="H12" i="1"/>
  <c r="I13" i="1"/>
  <c r="G15" i="1"/>
  <c r="H15" i="1"/>
  <c r="I14" i="1"/>
  <c r="I15" i="1"/>
  <c r="G16" i="1"/>
  <c r="I16" i="1"/>
  <c r="G17" i="1"/>
  <c r="H16" i="1"/>
  <c r="I17" i="1"/>
  <c r="G18" i="1"/>
  <c r="H18" i="1"/>
  <c r="H17" i="1"/>
  <c r="I18" i="1"/>
  <c r="G19" i="1"/>
  <c r="G20" i="1"/>
  <c r="H19" i="1"/>
  <c r="H20" i="1"/>
  <c r="I19" i="1"/>
  <c r="I20" i="1"/>
  <c r="O20" i="1"/>
  <c r="K20" i="1"/>
</calcChain>
</file>

<file path=xl/sharedStrings.xml><?xml version="1.0" encoding="utf-8"?>
<sst xmlns="http://schemas.openxmlformats.org/spreadsheetml/2006/main" count="95" uniqueCount="83">
  <si>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</si>
  <si>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</si>
  <si>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</si>
  <si>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</si>
  <si>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</si>
  <si>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</si>
  <si>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</si>
  <si>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</si>
  <si>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</si>
  <si>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</si>
  <si>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</si>
  <si>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</si>
  <si>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</si>
  <si>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</si>
  <si>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</si>
  <si>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</si>
  <si>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</si>
  <si>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</si>
  <si>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</si>
  <si>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</si>
  <si>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</si>
  <si>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</si>
  <si>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</si>
  <si>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</si>
  <si>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</si>
  <si>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</si>
  <si>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</si>
  <si>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</si>
  <si>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</si>
  <si>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</si>
  <si>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</si>
  <si>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</si>
  <si>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</si>
  <si>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</si>
  <si>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</si>
  <si>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</si>
  <si>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</si>
  <si>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</si>
  <si>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</si>
  <si>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</si>
  <si>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</si>
  <si>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16.</t>
  </si>
  <si>
    <t>05.</t>
  </si>
  <si>
    <t>06.</t>
  </si>
  <si>
    <t>07.</t>
  </si>
  <si>
    <t>08.</t>
  </si>
  <si>
    <t>09.</t>
  </si>
  <si>
    <t>01.</t>
  </si>
  <si>
    <t>02.</t>
  </si>
  <si>
    <t>03.</t>
  </si>
  <si>
    <t>04.</t>
  </si>
  <si>
    <t>Schöllkrippen</t>
  </si>
  <si>
    <t>Lohr</t>
  </si>
  <si>
    <t>Mainz</t>
  </si>
  <si>
    <t>Münsterschwarzach</t>
  </si>
  <si>
    <t>Volkach - Nordheim</t>
  </si>
  <si>
    <t>Iphofen</t>
  </si>
  <si>
    <t>Hüttenheim - Seinsheim - Rödelsee</t>
  </si>
  <si>
    <t>Wipfeld</t>
  </si>
  <si>
    <t>Gerolzhofen - Gaibach</t>
  </si>
  <si>
    <t>Ochsenfurt</t>
  </si>
  <si>
    <t>Seligenstadt (b. Wrzbg.)</t>
  </si>
  <si>
    <t>Würzburg - Kürnach</t>
  </si>
  <si>
    <t>Burgbernheim</t>
  </si>
  <si>
    <r>
      <t xml:space="preserve">Bad Windsheim - Neustadt/Aisch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Bad Windsheim</t>
    </r>
  </si>
  <si>
    <t>Kahlquellen</t>
  </si>
  <si>
    <t>Walldürn</t>
  </si>
  <si>
    <t>Amorbach - Miltenberg</t>
  </si>
  <si>
    <t>Hasloch</t>
  </si>
  <si>
    <t>Wertheim - Tauberbischofsheim</t>
  </si>
  <si>
    <t>Bad Mergentheim</t>
  </si>
  <si>
    <t>Weikersheim - Gautalbahn</t>
  </si>
  <si>
    <t>Karlstadt</t>
  </si>
  <si>
    <t>Waigolshausen</t>
  </si>
  <si>
    <t>Arnstein - Werneck</t>
  </si>
  <si>
    <t>Gemünden</t>
  </si>
  <si>
    <r>
      <t>Hammelburg -</t>
    </r>
    <r>
      <rPr>
        <i/>
        <sz val="10"/>
        <rFont val="Arial"/>
        <family val="2"/>
      </rPr>
      <t xml:space="preserve"> Zug</t>
    </r>
    <r>
      <rPr>
        <sz val="10"/>
        <rFont val="Arial"/>
        <family val="2"/>
      </rPr>
      <t xml:space="preserve"> - Gemünden - Eußenheim</t>
    </r>
  </si>
  <si>
    <t>Jossa</t>
  </si>
  <si>
    <t>Obersinn - Mittelsinn - Burgensinn - Rieneck</t>
  </si>
  <si>
    <t>Mespelbrunn</t>
  </si>
  <si>
    <t>Eschau - Elsenfeld - Eschau</t>
  </si>
  <si>
    <t>Mainfranken (7.-22.11.2020)</t>
  </si>
  <si>
    <r>
      <t>Statistik</t>
    </r>
    <r>
      <rPr>
        <b/>
        <sz val="20"/>
        <rFont val="Arial"/>
        <family val="2"/>
      </rPr>
      <t xml:space="preserve"> Mainfranken (7.-22.11.2020)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</si>
</sst>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top" wrapText="1"/>
    </xf>
    <xf numFmtId="185" fontId="4" fillId="0" borderId="0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9377-617F-4A6F-BA89-90FFC8A1B0BD}">
  <sheetPr codeName="Tabelle1"/>
  <dimension ref="A1:AH26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81</v>
      </c>
      <c r="B1" s="52"/>
      <c r="C1" s="52"/>
      <c r="D1" s="52"/>
      <c r="E1" s="52"/>
      <c r="F1" s="53"/>
      <c r="G1" s="55" t="s">
        <v>82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40</v>
      </c>
      <c r="M3" s="24" t="s">
        <v>25</v>
      </c>
      <c r="N3" s="24" t="s">
        <v>14</v>
      </c>
      <c r="O3" s="25" t="s">
        <v>33</v>
      </c>
      <c r="P3" s="24" t="s">
        <v>39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9" t="s">
        <v>47</v>
      </c>
      <c r="B4" s="46">
        <v>44142</v>
      </c>
      <c r="C4" s="5" t="s">
        <v>51</v>
      </c>
      <c r="D4" s="45" t="s">
        <v>65</v>
      </c>
      <c r="E4" s="4" t="s">
        <v>52</v>
      </c>
      <c r="F4" s="48">
        <v>50</v>
      </c>
      <c r="G4" s="12">
        <f>SUM(F4)</f>
        <v>50</v>
      </c>
      <c r="H4" s="13">
        <f>ROUND(PRODUCT(G4/1),0)</f>
        <v>50</v>
      </c>
      <c r="I4" s="13">
        <f>ROUND(PRODUCT(G4/COUNT(F4:F4)),0)</f>
        <v>50</v>
      </c>
      <c r="J4" s="38">
        <v>0.17063657407407407</v>
      </c>
      <c r="K4" s="19">
        <f>SUM(J4)</f>
        <v>0.17063657407407407</v>
      </c>
      <c r="L4" s="43">
        <f t="shared" ref="L4:L19" si="0">IF(F4=0,0,ROUND(PRODUCT(F4/SUM(HOUR(J4),PRODUCT(MINUTE(J4)/60))),1))</f>
        <v>12.2</v>
      </c>
      <c r="M4" s="33">
        <v>43</v>
      </c>
      <c r="N4" s="38">
        <v>0.22916666666666666</v>
      </c>
      <c r="O4" s="19">
        <f>SUM(N4)</f>
        <v>0.22916666666666666</v>
      </c>
      <c r="P4" s="43">
        <f t="shared" ref="P4:P19" si="1">IF(F4=0,0,ROUND(PRODUCT(F4/SUM(HOUR(N4),PRODUCT(MINUTE(N4)/60))),1))</f>
        <v>9.1</v>
      </c>
      <c r="Q4" s="19">
        <f t="shared" ref="Q4:Q11" si="2">SUM(N4,-J4)</f>
        <v>5.8530092592592592E-2</v>
      </c>
      <c r="R4" s="19">
        <f>SUM(Q4)</f>
        <v>5.8530092592592592E-2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9" si="3">SUM(S4,-T4,V4)</f>
        <v>0</v>
      </c>
      <c r="Y4" s="14">
        <f>SUM(X4)</f>
        <v>0</v>
      </c>
      <c r="Z4" s="14">
        <f t="shared" ref="Z4:Z19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9" t="s">
        <v>48</v>
      </c>
      <c r="B5" s="46">
        <v>44143</v>
      </c>
      <c r="C5" s="5"/>
      <c r="D5" s="45" t="s">
        <v>53</v>
      </c>
      <c r="E5" s="4"/>
      <c r="F5" s="48"/>
      <c r="G5" s="16">
        <f>SUM(G4,F5)</f>
        <v>50</v>
      </c>
      <c r="H5" s="10">
        <f>ROUND(PRODUCT(G5/2),0)</f>
        <v>25</v>
      </c>
      <c r="I5" s="10">
        <f>ROUND(PRODUCT(G5/COUNT(F4:F5)),0)</f>
        <v>50</v>
      </c>
      <c r="J5" s="39"/>
      <c r="K5" s="20">
        <f t="shared" ref="K5:K19" si="5">SUM(J5,K4)</f>
        <v>0.17063657407407407</v>
      </c>
      <c r="L5" s="43">
        <f t="shared" si="0"/>
        <v>0</v>
      </c>
      <c r="M5" s="34"/>
      <c r="N5" s="39"/>
      <c r="O5" s="20">
        <f t="shared" ref="O5:O19" si="6">SUM(N5,O4)</f>
        <v>0.22916666666666666</v>
      </c>
      <c r="P5" s="43">
        <f t="shared" si="1"/>
        <v>0</v>
      </c>
      <c r="Q5" s="20">
        <f t="shared" si="2"/>
        <v>0</v>
      </c>
      <c r="R5" s="20">
        <f>SUM(Q5,R4)</f>
        <v>5.8530092592592592E-2</v>
      </c>
      <c r="S5" s="10"/>
      <c r="T5" s="10"/>
      <c r="U5" s="17">
        <f>SUM(-S5,T5)</f>
        <v>0</v>
      </c>
      <c r="V5" s="28"/>
      <c r="W5" s="17">
        <f t="shared" ref="W5:W19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9" t="s">
        <v>49</v>
      </c>
      <c r="B6" s="46">
        <v>44144</v>
      </c>
      <c r="C6" s="5" t="s">
        <v>54</v>
      </c>
      <c r="D6" s="45" t="s">
        <v>55</v>
      </c>
      <c r="E6" s="4" t="s">
        <v>54</v>
      </c>
      <c r="F6" s="48">
        <v>42</v>
      </c>
      <c r="G6" s="16">
        <f t="shared" ref="G6:G19" si="8">SUM(G5,F6)</f>
        <v>92</v>
      </c>
      <c r="H6" s="10">
        <f>ROUND(PRODUCT(G6/3),0)</f>
        <v>31</v>
      </c>
      <c r="I6" s="10">
        <f>ROUND(PRODUCT(G6/COUNT(F4:F6)),0)</f>
        <v>46</v>
      </c>
      <c r="J6" s="50">
        <v>0.13194444444444445</v>
      </c>
      <c r="K6" s="20">
        <f t="shared" si="5"/>
        <v>0.30258101851851849</v>
      </c>
      <c r="L6" s="43">
        <f t="shared" si="0"/>
        <v>13.3</v>
      </c>
      <c r="M6" s="34">
        <v>41.4</v>
      </c>
      <c r="N6" s="39">
        <v>0.1875</v>
      </c>
      <c r="O6" s="20">
        <f t="shared" si="6"/>
        <v>0.41666666666666663</v>
      </c>
      <c r="P6" s="43">
        <f t="shared" si="1"/>
        <v>9.3000000000000007</v>
      </c>
      <c r="Q6" s="20">
        <f t="shared" si="2"/>
        <v>5.5555555555555552E-2</v>
      </c>
      <c r="R6" s="20">
        <f t="shared" ref="R6:R19" si="9">SUM(Q6,R5)</f>
        <v>0.11408564814814814</v>
      </c>
      <c r="S6" s="10"/>
      <c r="T6" s="28"/>
      <c r="U6" s="17">
        <f t="shared" ref="U6:U19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9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9" si="12">SUM(AG6,-AF6)</f>
        <v>0</v>
      </c>
    </row>
    <row r="7" spans="1:34" ht="13">
      <c r="A7" s="49" t="s">
        <v>50</v>
      </c>
      <c r="B7" s="46">
        <v>44145</v>
      </c>
      <c r="C7" s="5" t="s">
        <v>56</v>
      </c>
      <c r="D7" s="45" t="s">
        <v>57</v>
      </c>
      <c r="E7" s="4" t="s">
        <v>56</v>
      </c>
      <c r="F7" s="48">
        <v>40</v>
      </c>
      <c r="G7" s="16">
        <f t="shared" si="8"/>
        <v>132</v>
      </c>
      <c r="H7" s="10">
        <f>ROUND(PRODUCT(G7/4),0)</f>
        <v>33</v>
      </c>
      <c r="I7" s="10">
        <f>ROUND(PRODUCT(G7/COUNT(F4:F7)),0)</f>
        <v>44</v>
      </c>
      <c r="J7" s="39">
        <v>0.13333333333333333</v>
      </c>
      <c r="K7" s="20">
        <f t="shared" si="5"/>
        <v>0.43591435185185179</v>
      </c>
      <c r="L7" s="43">
        <f t="shared" si="0"/>
        <v>12.5</v>
      </c>
      <c r="M7" s="35">
        <v>47.1</v>
      </c>
      <c r="N7" s="39">
        <v>0.20833333333333334</v>
      </c>
      <c r="O7" s="20">
        <f t="shared" si="6"/>
        <v>0.625</v>
      </c>
      <c r="P7" s="43">
        <f t="shared" si="1"/>
        <v>8</v>
      </c>
      <c r="Q7" s="20">
        <f t="shared" si="2"/>
        <v>7.5000000000000011E-2</v>
      </c>
      <c r="R7" s="20">
        <f t="shared" si="9"/>
        <v>0.18908564814814816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9" t="s">
        <v>42</v>
      </c>
      <c r="B8" s="46">
        <v>44146</v>
      </c>
      <c r="C8" s="5" t="s">
        <v>58</v>
      </c>
      <c r="D8" s="45" t="s">
        <v>59</v>
      </c>
      <c r="E8" s="4" t="s">
        <v>58</v>
      </c>
      <c r="F8" s="48">
        <v>48</v>
      </c>
      <c r="G8" s="16">
        <f t="shared" si="8"/>
        <v>180</v>
      </c>
      <c r="H8" s="10">
        <f>ROUND(PRODUCT(G8/5),0)</f>
        <v>36</v>
      </c>
      <c r="I8" s="10">
        <f>ROUND(PRODUCT(G8/COUNT(F4:F8)),0)</f>
        <v>45</v>
      </c>
      <c r="J8" s="39">
        <v>0.1451388888888889</v>
      </c>
      <c r="K8" s="20">
        <f t="shared" si="5"/>
        <v>0.58105324074074072</v>
      </c>
      <c r="L8" s="43">
        <f t="shared" si="0"/>
        <v>13.8</v>
      </c>
      <c r="M8" s="35">
        <v>41.3</v>
      </c>
      <c r="N8" s="39">
        <v>0.22916666666666666</v>
      </c>
      <c r="O8" s="20">
        <f t="shared" si="6"/>
        <v>0.85416666666666663</v>
      </c>
      <c r="P8" s="43">
        <f t="shared" si="1"/>
        <v>8.6999999999999993</v>
      </c>
      <c r="Q8" s="20">
        <f t="shared" si="2"/>
        <v>8.4027777777777757E-2</v>
      </c>
      <c r="R8" s="20">
        <f t="shared" si="9"/>
        <v>0.27311342592592591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9" t="s">
        <v>43</v>
      </c>
      <c r="B9" s="46">
        <v>44147</v>
      </c>
      <c r="C9" s="5" t="s">
        <v>60</v>
      </c>
      <c r="D9" s="45" t="s">
        <v>62</v>
      </c>
      <c r="E9" s="4" t="s">
        <v>61</v>
      </c>
      <c r="F9" s="48">
        <v>50</v>
      </c>
      <c r="G9" s="16">
        <f t="shared" si="8"/>
        <v>230</v>
      </c>
      <c r="H9" s="10">
        <f>ROUND(PRODUCT(G9/6),0)</f>
        <v>38</v>
      </c>
      <c r="I9" s="10">
        <f>ROUND(PRODUCT(G9/COUNT(F4:F9)),0)</f>
        <v>46</v>
      </c>
      <c r="J9" s="39">
        <v>0.15555555555555556</v>
      </c>
      <c r="K9" s="20">
        <f t="shared" si="5"/>
        <v>0.73660879629629628</v>
      </c>
      <c r="L9" s="43">
        <f t="shared" si="0"/>
        <v>13.4</v>
      </c>
      <c r="M9" s="35">
        <v>33.200000000000003</v>
      </c>
      <c r="N9" s="39">
        <v>0.20833333333333334</v>
      </c>
      <c r="O9" s="20">
        <f t="shared" si="6"/>
        <v>1.0625</v>
      </c>
      <c r="P9" s="43">
        <f t="shared" si="1"/>
        <v>10</v>
      </c>
      <c r="Q9" s="20">
        <f t="shared" si="2"/>
        <v>5.2777777777777785E-2</v>
      </c>
      <c r="R9" s="20">
        <f t="shared" si="9"/>
        <v>0.32589120370370372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9" t="s">
        <v>44</v>
      </c>
      <c r="B10" s="46">
        <v>44148</v>
      </c>
      <c r="C10" s="5" t="s">
        <v>63</v>
      </c>
      <c r="D10" s="45" t="s">
        <v>64</v>
      </c>
      <c r="E10" s="4" t="s">
        <v>63</v>
      </c>
      <c r="F10" s="48">
        <v>53</v>
      </c>
      <c r="G10" s="16">
        <f t="shared" si="8"/>
        <v>283</v>
      </c>
      <c r="H10" s="10">
        <f>ROUND(PRODUCT(G10/7),0)</f>
        <v>40</v>
      </c>
      <c r="I10" s="10">
        <f>ROUND(PRODUCT(G10/COUNT(F4:F10)),0)</f>
        <v>47</v>
      </c>
      <c r="J10" s="39">
        <v>0.14652777777777778</v>
      </c>
      <c r="K10" s="20">
        <f t="shared" si="5"/>
        <v>0.88313657407407409</v>
      </c>
      <c r="L10" s="43">
        <f t="shared" si="0"/>
        <v>15.1</v>
      </c>
      <c r="M10" s="34">
        <v>36</v>
      </c>
      <c r="N10" s="39">
        <v>0.20833333333333334</v>
      </c>
      <c r="O10" s="20">
        <f t="shared" si="6"/>
        <v>1.2708333333333333</v>
      </c>
      <c r="P10" s="43">
        <f t="shared" si="1"/>
        <v>10.6</v>
      </c>
      <c r="Q10" s="20">
        <f t="shared" si="2"/>
        <v>6.1805555555555558E-2</v>
      </c>
      <c r="R10" s="20">
        <f t="shared" si="9"/>
        <v>0.38769675925925928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47" t="s">
        <v>45</v>
      </c>
      <c r="B11" s="46">
        <v>44149</v>
      </c>
      <c r="C11" s="5"/>
      <c r="D11" s="45" t="s">
        <v>60</v>
      </c>
      <c r="E11" s="4"/>
      <c r="F11" s="48"/>
      <c r="G11" s="16">
        <f t="shared" si="8"/>
        <v>283</v>
      </c>
      <c r="H11" s="10">
        <f>ROUND(PRODUCT(G11/8),0)</f>
        <v>35</v>
      </c>
      <c r="I11" s="10">
        <f>ROUND(PRODUCT(G11/COUNT(F4:F11)),0)</f>
        <v>47</v>
      </c>
      <c r="J11" s="39"/>
      <c r="K11" s="20">
        <f t="shared" si="5"/>
        <v>0.88313657407407409</v>
      </c>
      <c r="L11" s="43">
        <f t="shared" si="0"/>
        <v>0</v>
      </c>
      <c r="M11" s="35"/>
      <c r="N11" s="39"/>
      <c r="O11" s="20">
        <f t="shared" si="6"/>
        <v>1.2708333333333333</v>
      </c>
      <c r="P11" s="43">
        <f t="shared" si="1"/>
        <v>0</v>
      </c>
      <c r="Q11" s="20">
        <f t="shared" si="2"/>
        <v>0</v>
      </c>
      <c r="R11" s="20">
        <f t="shared" si="9"/>
        <v>0.38769675925925928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47" t="s">
        <v>46</v>
      </c>
      <c r="B12" s="46">
        <v>44150</v>
      </c>
      <c r="C12" s="5" t="s">
        <v>66</v>
      </c>
      <c r="D12" s="45" t="s">
        <v>67</v>
      </c>
      <c r="E12" s="4" t="s">
        <v>68</v>
      </c>
      <c r="F12" s="48">
        <v>60</v>
      </c>
      <c r="G12" s="16">
        <f t="shared" si="8"/>
        <v>343</v>
      </c>
      <c r="H12" s="10">
        <f>ROUND(PRODUCT(G12/9),0)</f>
        <v>38</v>
      </c>
      <c r="I12" s="10">
        <f>ROUND(PRODUCT(G12/COUNT(F4:F12)),0)</f>
        <v>49</v>
      </c>
      <c r="J12" s="39">
        <v>0.1423611111111111</v>
      </c>
      <c r="K12" s="20">
        <f t="shared" si="5"/>
        <v>1.0254976851851851</v>
      </c>
      <c r="L12" s="43">
        <f t="shared" si="0"/>
        <v>17.600000000000001</v>
      </c>
      <c r="M12" s="34">
        <v>52.7</v>
      </c>
      <c r="N12" s="39">
        <v>0.20833333333333334</v>
      </c>
      <c r="O12" s="20">
        <f t="shared" si="6"/>
        <v>1.4791666666666665</v>
      </c>
      <c r="P12" s="43">
        <f t="shared" si="1"/>
        <v>12</v>
      </c>
      <c r="Q12" s="20">
        <f t="shared" ref="Q12:Q19" si="13">SUM(N12,-J12)</f>
        <v>6.5972222222222238E-2</v>
      </c>
      <c r="R12" s="20">
        <f t="shared" si="9"/>
        <v>0.45366898148148149</v>
      </c>
      <c r="S12" s="28"/>
      <c r="T12" s="28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28"/>
      <c r="AB12" s="28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45" t="s">
        <v>5</v>
      </c>
      <c r="B13" s="46">
        <v>44151</v>
      </c>
      <c r="C13" s="5" t="s">
        <v>68</v>
      </c>
      <c r="D13" s="45" t="s">
        <v>69</v>
      </c>
      <c r="E13" s="4" t="s">
        <v>70</v>
      </c>
      <c r="F13" s="48">
        <v>67</v>
      </c>
      <c r="G13" s="16">
        <f t="shared" si="8"/>
        <v>410</v>
      </c>
      <c r="H13" s="10">
        <f>ROUND(PRODUCT(G13/10),0)</f>
        <v>41</v>
      </c>
      <c r="I13" s="10">
        <f>ROUND(PRODUCT(G13/COUNT(F4:F13)),0)</f>
        <v>51</v>
      </c>
      <c r="J13" s="39">
        <v>0.20138888888888887</v>
      </c>
      <c r="K13" s="20">
        <f t="shared" si="5"/>
        <v>1.226886574074074</v>
      </c>
      <c r="L13" s="43">
        <f t="shared" si="0"/>
        <v>13.9</v>
      </c>
      <c r="M13" s="35">
        <v>52.2</v>
      </c>
      <c r="N13" s="39">
        <v>0.29166666666666669</v>
      </c>
      <c r="O13" s="20">
        <f t="shared" si="6"/>
        <v>1.7708333333333333</v>
      </c>
      <c r="P13" s="43">
        <f t="shared" si="1"/>
        <v>9.6</v>
      </c>
      <c r="Q13" s="20">
        <f t="shared" si="13"/>
        <v>9.0277777777777818E-2</v>
      </c>
      <c r="R13" s="20">
        <f t="shared" si="9"/>
        <v>0.54394675925925928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45" t="s">
        <v>7</v>
      </c>
      <c r="B14" s="46">
        <v>44152</v>
      </c>
      <c r="C14" s="5" t="s">
        <v>70</v>
      </c>
      <c r="D14" s="45" t="s">
        <v>71</v>
      </c>
      <c r="E14" s="4" t="s">
        <v>60</v>
      </c>
      <c r="F14" s="48">
        <v>62</v>
      </c>
      <c r="G14" s="16">
        <f t="shared" si="8"/>
        <v>472</v>
      </c>
      <c r="H14" s="10">
        <f>ROUND(PRODUCT(G14/11),0)</f>
        <v>43</v>
      </c>
      <c r="I14" s="10">
        <f>ROUND(PRODUCT(G14/COUNT(F4:F14)),0)</f>
        <v>52</v>
      </c>
      <c r="J14" s="39">
        <v>0.15972222222222224</v>
      </c>
      <c r="K14" s="20">
        <f t="shared" si="5"/>
        <v>1.3866087962962963</v>
      </c>
      <c r="L14" s="43">
        <f t="shared" si="0"/>
        <v>16.2</v>
      </c>
      <c r="M14" s="35">
        <v>40.5</v>
      </c>
      <c r="N14" s="39">
        <v>0.28125</v>
      </c>
      <c r="O14" s="20">
        <f t="shared" si="6"/>
        <v>2.052083333333333</v>
      </c>
      <c r="P14" s="43">
        <f t="shared" si="1"/>
        <v>9.1999999999999993</v>
      </c>
      <c r="Q14" s="20">
        <f t="shared" si="13"/>
        <v>0.12152777777777776</v>
      </c>
      <c r="R14" s="20">
        <f t="shared" si="9"/>
        <v>0.66547453703703707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5" t="s">
        <v>35</v>
      </c>
      <c r="B15" s="46">
        <v>44153</v>
      </c>
      <c r="C15" s="5" t="s">
        <v>72</v>
      </c>
      <c r="D15" s="45" t="s">
        <v>74</v>
      </c>
      <c r="E15" s="4" t="s">
        <v>73</v>
      </c>
      <c r="F15" s="48">
        <v>51</v>
      </c>
      <c r="G15" s="16">
        <f t="shared" si="8"/>
        <v>523</v>
      </c>
      <c r="H15" s="10">
        <f>ROUND(PRODUCT(G15/12),0)</f>
        <v>44</v>
      </c>
      <c r="I15" s="10">
        <f>ROUND(PRODUCT(G15/COUNT(F4:F15)),0)</f>
        <v>52</v>
      </c>
      <c r="J15" s="39">
        <v>0.15833333333333333</v>
      </c>
      <c r="K15" s="20">
        <f t="shared" si="5"/>
        <v>1.5449421296296295</v>
      </c>
      <c r="L15" s="43">
        <f t="shared" si="0"/>
        <v>13.4</v>
      </c>
      <c r="M15" s="34">
        <v>46.8</v>
      </c>
      <c r="N15" s="39">
        <v>0.33333333333333331</v>
      </c>
      <c r="O15" s="20">
        <f t="shared" si="6"/>
        <v>2.3854166666666665</v>
      </c>
      <c r="P15" s="43">
        <f t="shared" si="1"/>
        <v>6.4</v>
      </c>
      <c r="Q15" s="20">
        <f t="shared" si="13"/>
        <v>0.17499999999999999</v>
      </c>
      <c r="R15" s="20">
        <f t="shared" si="9"/>
        <v>0.84047453703703701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45" t="s">
        <v>36</v>
      </c>
      <c r="B16" s="46">
        <v>44154</v>
      </c>
      <c r="C16" s="5" t="s">
        <v>75</v>
      </c>
      <c r="D16" s="45" t="s">
        <v>76</v>
      </c>
      <c r="E16" s="4" t="s">
        <v>72</v>
      </c>
      <c r="F16" s="48">
        <v>62</v>
      </c>
      <c r="G16" s="16">
        <f t="shared" si="8"/>
        <v>585</v>
      </c>
      <c r="H16" s="10">
        <f>ROUND(PRODUCT(G16/13),0)</f>
        <v>45</v>
      </c>
      <c r="I16" s="10">
        <f>ROUND(PRODUCT(G16/COUNT(F4:F16)),0)</f>
        <v>53</v>
      </c>
      <c r="J16" s="39">
        <v>0.17152777777777775</v>
      </c>
      <c r="K16" s="20">
        <f t="shared" si="5"/>
        <v>1.7164699074074072</v>
      </c>
      <c r="L16" s="43">
        <f t="shared" si="0"/>
        <v>15.1</v>
      </c>
      <c r="M16" s="34">
        <v>50</v>
      </c>
      <c r="N16" s="39">
        <v>0.33333333333333331</v>
      </c>
      <c r="O16" s="20">
        <f t="shared" si="6"/>
        <v>2.71875</v>
      </c>
      <c r="P16" s="43">
        <f t="shared" si="1"/>
        <v>7.8</v>
      </c>
      <c r="Q16" s="20">
        <f t="shared" si="13"/>
        <v>0.16180555555555556</v>
      </c>
      <c r="R16" s="20">
        <f t="shared" si="9"/>
        <v>1.0022800925925925</v>
      </c>
      <c r="S16" s="28"/>
      <c r="T16" s="28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28"/>
      <c r="AB16" s="28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45" t="s">
        <v>37</v>
      </c>
      <c r="B17" s="46">
        <v>44155</v>
      </c>
      <c r="C17" s="5"/>
      <c r="D17" s="45" t="s">
        <v>70</v>
      </c>
      <c r="E17" s="4"/>
      <c r="F17" s="48"/>
      <c r="G17" s="16">
        <f t="shared" si="8"/>
        <v>585</v>
      </c>
      <c r="H17" s="10">
        <f>ROUND(PRODUCT(G17/14),0)</f>
        <v>42</v>
      </c>
      <c r="I17" s="10">
        <f>ROUND(PRODUCT(G17/COUNT(F4:F17)),0)</f>
        <v>53</v>
      </c>
      <c r="J17" s="39"/>
      <c r="K17" s="20">
        <f t="shared" si="5"/>
        <v>1.7164699074074072</v>
      </c>
      <c r="L17" s="43">
        <f t="shared" si="0"/>
        <v>0</v>
      </c>
      <c r="M17" s="34"/>
      <c r="N17" s="39"/>
      <c r="O17" s="20">
        <f t="shared" si="6"/>
        <v>2.71875</v>
      </c>
      <c r="P17" s="43">
        <f t="shared" si="1"/>
        <v>0</v>
      </c>
      <c r="Q17" s="20">
        <f t="shared" si="13"/>
        <v>0</v>
      </c>
      <c r="R17" s="20">
        <f t="shared" si="9"/>
        <v>1.0022800925925925</v>
      </c>
      <c r="S17" s="28"/>
      <c r="T17" s="28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28"/>
      <c r="AB17" s="28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45" t="s">
        <v>38</v>
      </c>
      <c r="B18" s="46">
        <v>44156</v>
      </c>
      <c r="C18" s="5" t="s">
        <v>77</v>
      </c>
      <c r="D18" s="45" t="s">
        <v>78</v>
      </c>
      <c r="E18" s="4" t="s">
        <v>75</v>
      </c>
      <c r="F18" s="48">
        <v>34</v>
      </c>
      <c r="G18" s="16">
        <f t="shared" si="8"/>
        <v>619</v>
      </c>
      <c r="H18" s="10">
        <f>ROUND(PRODUCT(G18/15),0)</f>
        <v>41</v>
      </c>
      <c r="I18" s="10">
        <f>ROUND(PRODUCT(G18/COUNT(F4:F18)),0)</f>
        <v>52</v>
      </c>
      <c r="J18" s="39">
        <v>9.5138888888888884E-2</v>
      </c>
      <c r="K18" s="20">
        <f t="shared" si="5"/>
        <v>1.8116087962962961</v>
      </c>
      <c r="L18" s="43">
        <f t="shared" si="0"/>
        <v>14.9</v>
      </c>
      <c r="M18" s="34">
        <v>37</v>
      </c>
      <c r="N18" s="39">
        <v>0.13541666666666666</v>
      </c>
      <c r="O18" s="20">
        <f t="shared" si="6"/>
        <v>2.8541666666666665</v>
      </c>
      <c r="P18" s="43">
        <f t="shared" si="1"/>
        <v>10.5</v>
      </c>
      <c r="Q18" s="20">
        <f t="shared" si="13"/>
        <v>4.0277777777777773E-2</v>
      </c>
      <c r="R18" s="20">
        <f t="shared" si="9"/>
        <v>1.0425578703703704</v>
      </c>
      <c r="S18" s="28"/>
      <c r="T18" s="28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28"/>
      <c r="AB18" s="28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45" t="s">
        <v>41</v>
      </c>
      <c r="B19" s="46">
        <v>44157</v>
      </c>
      <c r="C19" s="5" t="s">
        <v>79</v>
      </c>
      <c r="D19" s="45" t="s">
        <v>80</v>
      </c>
      <c r="E19" s="4" t="s">
        <v>79</v>
      </c>
      <c r="F19" s="48">
        <v>51</v>
      </c>
      <c r="G19" s="16">
        <f t="shared" si="8"/>
        <v>670</v>
      </c>
      <c r="H19" s="10">
        <f>ROUND(PRODUCT(G19/16),0)</f>
        <v>42</v>
      </c>
      <c r="I19" s="10">
        <f>ROUND(PRODUCT(G19/COUNT(F4:F19)),0)</f>
        <v>52</v>
      </c>
      <c r="J19" s="39">
        <v>0.14583333333333334</v>
      </c>
      <c r="K19" s="20">
        <f t="shared" si="5"/>
        <v>1.9574421296296294</v>
      </c>
      <c r="L19" s="43">
        <f t="shared" si="0"/>
        <v>14.6</v>
      </c>
      <c r="M19" s="34">
        <v>42.6</v>
      </c>
      <c r="N19" s="39">
        <v>0.20833333333333334</v>
      </c>
      <c r="O19" s="20">
        <f t="shared" si="6"/>
        <v>3.0625</v>
      </c>
      <c r="P19" s="43">
        <f t="shared" si="1"/>
        <v>10.199999999999999</v>
      </c>
      <c r="Q19" s="20">
        <f t="shared" si="13"/>
        <v>6.25E-2</v>
      </c>
      <c r="R19" s="20">
        <f t="shared" si="9"/>
        <v>1.1050578703703704</v>
      </c>
      <c r="S19" s="28"/>
      <c r="T19" s="28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28"/>
      <c r="AB19" s="28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30" t="s">
        <v>6</v>
      </c>
      <c r="B20" s="58"/>
      <c r="C20" s="59"/>
      <c r="D20" s="59"/>
      <c r="E20" s="60"/>
      <c r="F20" s="31">
        <f>SUM(F4:F19)</f>
        <v>670</v>
      </c>
      <c r="G20" s="21">
        <f>SUM(G19)</f>
        <v>670</v>
      </c>
      <c r="H20" s="21">
        <f>SUM(H19)</f>
        <v>42</v>
      </c>
      <c r="I20" s="21">
        <f>SUM(I19)</f>
        <v>52</v>
      </c>
      <c r="J20" s="22">
        <f>SUM(J4:J19)</f>
        <v>1.9574421296296294</v>
      </c>
      <c r="K20" s="37">
        <f>F20/SUM(HOUR(J20)+(ROUNDDOWN(J20,0)*24),PRODUCT(MINUTE(J20)/60))</f>
        <v>14.265436479772887</v>
      </c>
      <c r="L20" s="42">
        <f>SUM(L4:L19)/COUNT(F4:F19)</f>
        <v>14.307692307692308</v>
      </c>
      <c r="M20" s="44">
        <f>PRODUCT(SUM(M4:M19),1/COUNT(M4:M19,-5))</f>
        <v>40.271428571428572</v>
      </c>
      <c r="N20" s="22">
        <f>SUM(N4:N19)</f>
        <v>3.0625</v>
      </c>
      <c r="O20" s="37">
        <f>F20/SUM(HOUR(N20)+(ROUNDDOWN(N20,0)*24),PRODUCT(MINUTE(N20)/60))</f>
        <v>9.1156462585034017</v>
      </c>
      <c r="P20" s="42">
        <f>SUM(P4:P19)/COUNT(F4:F19)</f>
        <v>9.3384615384615373</v>
      </c>
      <c r="Q20" s="22">
        <f>SUM(Q4:Q19)</f>
        <v>1.1050578703703704</v>
      </c>
      <c r="R20" s="21"/>
      <c r="S20" s="21" t="e">
        <f>ROUND(SUM(S4:S19)/COUNT(S4:S19),0)</f>
        <v>#DIV/0!</v>
      </c>
      <c r="T20" s="21" t="e">
        <f>ROUND(SUM(T4:T19)/COUNT(T4:T19),0)</f>
        <v>#DIV/0!</v>
      </c>
      <c r="U20" s="23">
        <f>SUM(U4:U19)</f>
        <v>0</v>
      </c>
      <c r="V20" s="21" t="e">
        <f>ROUND(SUM(V4:V19)/COUNT(V4:V19),0)</f>
        <v>#DIV/0!</v>
      </c>
      <c r="W20" s="21" t="e">
        <f>SUM(#REF!)</f>
        <v>#REF!</v>
      </c>
      <c r="X20" s="21" t="e">
        <f>ROUND(SUM(X4:X19)/COUNT(V4:V19),0)</f>
        <v>#DIV/0!</v>
      </c>
      <c r="Y20" s="21" t="e">
        <f>SUM(#REF!)</f>
        <v>#REF!</v>
      </c>
      <c r="Z20" s="23">
        <f>SUM(Z4:Z19)</f>
        <v>0</v>
      </c>
      <c r="AA20" s="21" t="e">
        <f>ROUND(SUM(AA4:AA19)/COUNT(AA4:AA19),0)</f>
        <v>#DIV/0!</v>
      </c>
      <c r="AB20" s="36" t="e">
        <f t="shared" ref="AB20:AG20" si="14">SUM(AB4:AB19)/COUNT(AB4:AB19)</f>
        <v>#DIV/0!</v>
      </c>
      <c r="AC20" s="36" t="e">
        <f t="shared" si="14"/>
        <v>#DIV/0!</v>
      </c>
      <c r="AD20" s="36" t="e">
        <f t="shared" si="14"/>
        <v>#DIV/0!</v>
      </c>
      <c r="AE20" s="36" t="e">
        <f t="shared" si="14"/>
        <v>#DIV/0!</v>
      </c>
      <c r="AF20" s="36" t="e">
        <f t="shared" si="14"/>
        <v>#DIV/0!</v>
      </c>
      <c r="AG20" s="36" t="e">
        <f t="shared" si="14"/>
        <v>#DIV/0!</v>
      </c>
      <c r="AH20" s="36" t="e">
        <f>SUM(AH4:AH19)/COUNT(AG4:AG19)</f>
        <v>#DIV/0!</v>
      </c>
    </row>
    <row r="21" spans="1:34" ht="13">
      <c r="Q21" s="10"/>
      <c r="R21" s="10"/>
      <c r="S21" s="10"/>
      <c r="W21" s="17"/>
      <c r="Y21" s="17"/>
    </row>
    <row r="22" spans="1:34" ht="13">
      <c r="O22" s="10"/>
      <c r="P22" s="10"/>
      <c r="Q22" s="10"/>
      <c r="R22" s="32"/>
      <c r="S22" s="10"/>
      <c r="T22" s="10"/>
      <c r="U22" s="10"/>
      <c r="V22" s="10"/>
      <c r="W22" s="17"/>
      <c r="X22" s="10"/>
      <c r="Y22" s="17"/>
      <c r="Z22" s="10"/>
      <c r="AA22" s="10"/>
    </row>
    <row r="23" spans="1:34" ht="13">
      <c r="N23" s="41"/>
      <c r="O23" s="10"/>
      <c r="P23" s="10"/>
      <c r="Q23" s="40"/>
      <c r="R23" s="40"/>
      <c r="S23" s="10"/>
      <c r="T23" s="10"/>
      <c r="U23" s="10"/>
      <c r="V23" s="10"/>
      <c r="W23" s="10"/>
      <c r="X23" s="10"/>
      <c r="Y23" s="10"/>
      <c r="Z23" s="10"/>
      <c r="AA23" s="10"/>
    </row>
    <row r="24" spans="1:34" ht="13"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1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</sheetData>
  <mergeCells count="4">
    <mergeCell ref="A1:F1"/>
    <mergeCell ref="A2:F2"/>
    <mergeCell ref="G1:AH1"/>
    <mergeCell ref="B20:E2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B94C-707B-467D-9935-1F9EA45971D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15D7-90A8-483C-8E33-5F513E592B7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2018-04-24T07:54:39Z</cp:lastPrinted>
  <dcterms:created xsi:type="dcterms:W3CDTF">2001-02-09T16:25:48Z</dcterms:created>
  <dcterms:modified xsi:type="dcterms:W3CDTF">2025-11-12T20:22:50Z</dcterms:modified>
</cp:coreProperties>
</file>