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0CC88609-9DE2-430F-9CD9-D12094A9E984}" xr6:coauthVersionLast="47" xr6:coauthVersionMax="47" xr10:uidLastSave="{00000000-0000-0000-0000-000000000000}"/>
  <bookViews>
    <workbookView xWindow="-110" yWindow="-110" windowWidth="19420" windowHeight="10420" xr2:uid="{E8AA5B64-86E2-4161-A8FB-6EAE768FA27B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L4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P4" i="1"/>
  <c r="Q4" i="1"/>
  <c r="R4" i="1"/>
  <c r="U4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X4" i="1"/>
  <c r="Y4" i="1"/>
  <c r="AH4" i="1"/>
  <c r="AH27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L8" i="1"/>
  <c r="P8" i="1"/>
  <c r="Q8" i="1"/>
  <c r="U8" i="1"/>
  <c r="X8" i="1"/>
  <c r="Z8" i="1"/>
  <c r="AH8" i="1"/>
  <c r="L9" i="1"/>
  <c r="P9" i="1"/>
  <c r="Q9" i="1"/>
  <c r="U9" i="1"/>
  <c r="X9" i="1"/>
  <c r="Z9" i="1"/>
  <c r="AH9" i="1"/>
  <c r="L10" i="1"/>
  <c r="P10" i="1"/>
  <c r="Q10" i="1"/>
  <c r="U10" i="1"/>
  <c r="X10" i="1"/>
  <c r="Z10" i="1"/>
  <c r="AH10" i="1"/>
  <c r="L11" i="1"/>
  <c r="P11" i="1"/>
  <c r="Q11" i="1"/>
  <c r="U11" i="1"/>
  <c r="X11" i="1"/>
  <c r="Z11" i="1"/>
  <c r="AH11" i="1"/>
  <c r="L12" i="1"/>
  <c r="P12" i="1"/>
  <c r="Q12" i="1"/>
  <c r="U12" i="1"/>
  <c r="X12" i="1"/>
  <c r="Z12" i="1"/>
  <c r="AH12" i="1"/>
  <c r="L13" i="1"/>
  <c r="P13" i="1"/>
  <c r="Q13" i="1"/>
  <c r="U13" i="1"/>
  <c r="X13" i="1"/>
  <c r="Z13" i="1"/>
  <c r="AH13" i="1"/>
  <c r="L14" i="1"/>
  <c r="P14" i="1"/>
  <c r="Q14" i="1"/>
  <c r="U14" i="1"/>
  <c r="X14" i="1"/>
  <c r="Z14" i="1"/>
  <c r="AH14" i="1"/>
  <c r="L15" i="1"/>
  <c r="P15" i="1"/>
  <c r="Q15" i="1"/>
  <c r="U15" i="1"/>
  <c r="X15" i="1"/>
  <c r="Z15" i="1"/>
  <c r="AH15" i="1"/>
  <c r="L16" i="1"/>
  <c r="P16" i="1"/>
  <c r="Q16" i="1"/>
  <c r="U16" i="1"/>
  <c r="X16" i="1"/>
  <c r="Z16" i="1"/>
  <c r="AH16" i="1"/>
  <c r="L17" i="1"/>
  <c r="P17" i="1"/>
  <c r="Q17" i="1"/>
  <c r="U17" i="1"/>
  <c r="X17" i="1"/>
  <c r="Z17" i="1"/>
  <c r="AH17" i="1"/>
  <c r="L18" i="1"/>
  <c r="P18" i="1"/>
  <c r="Q18" i="1"/>
  <c r="U18" i="1"/>
  <c r="X18" i="1"/>
  <c r="Z18" i="1"/>
  <c r="AH18" i="1"/>
  <c r="L19" i="1"/>
  <c r="P19" i="1"/>
  <c r="Q19" i="1"/>
  <c r="U19" i="1"/>
  <c r="X19" i="1"/>
  <c r="Z19" i="1"/>
  <c r="AH19" i="1"/>
  <c r="L20" i="1"/>
  <c r="P20" i="1"/>
  <c r="Q20" i="1"/>
  <c r="U20" i="1"/>
  <c r="X20" i="1"/>
  <c r="Z20" i="1"/>
  <c r="AH20" i="1"/>
  <c r="L21" i="1"/>
  <c r="P21" i="1"/>
  <c r="Q21" i="1"/>
  <c r="U21" i="1"/>
  <c r="X21" i="1"/>
  <c r="Z21" i="1"/>
  <c r="AH21" i="1"/>
  <c r="L22" i="1"/>
  <c r="P22" i="1"/>
  <c r="Q22" i="1"/>
  <c r="U22" i="1"/>
  <c r="X22" i="1"/>
  <c r="Z22" i="1"/>
  <c r="AH22" i="1"/>
  <c r="L23" i="1"/>
  <c r="P23" i="1"/>
  <c r="Q23" i="1"/>
  <c r="U23" i="1"/>
  <c r="X23" i="1"/>
  <c r="Z23" i="1"/>
  <c r="AH23" i="1"/>
  <c r="L24" i="1"/>
  <c r="P24" i="1"/>
  <c r="Q24" i="1"/>
  <c r="U24" i="1"/>
  <c r="X24" i="1"/>
  <c r="Z24" i="1"/>
  <c r="AH24" i="1"/>
  <c r="L25" i="1"/>
  <c r="P25" i="1"/>
  <c r="Q25" i="1"/>
  <c r="U25" i="1"/>
  <c r="X25" i="1"/>
  <c r="Z25" i="1"/>
  <c r="AH25" i="1"/>
  <c r="L26" i="1"/>
  <c r="P26" i="1"/>
  <c r="Q26" i="1"/>
  <c r="U26" i="1"/>
  <c r="X26" i="1"/>
  <c r="Z26" i="1"/>
  <c r="AH26" i="1"/>
  <c r="F27" i="1"/>
  <c r="J27" i="1"/>
  <c r="M27" i="1"/>
  <c r="N27" i="1"/>
  <c r="S27" i="1"/>
  <c r="T27" i="1"/>
  <c r="V27" i="1"/>
  <c r="AA27" i="1"/>
  <c r="AB27" i="1"/>
  <c r="AC27" i="1"/>
  <c r="AD27" i="1"/>
  <c r="AE27" i="1"/>
  <c r="AF27" i="1"/>
  <c r="AG27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G5" i="1"/>
  <c r="I5" i="1"/>
  <c r="Z4" i="1"/>
  <c r="U27" i="1"/>
  <c r="P27" i="1"/>
  <c r="K27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Q27" i="1"/>
  <c r="W27" i="1"/>
  <c r="O27" i="1"/>
  <c r="X27" i="1"/>
  <c r="L27" i="1"/>
  <c r="Z27" i="1"/>
  <c r="I4" i="1"/>
  <c r="H5" i="1"/>
  <c r="G6" i="1"/>
  <c r="Y26" i="1"/>
  <c r="Y27" i="1"/>
  <c r="I6" i="1"/>
  <c r="H6" i="1"/>
  <c r="G7" i="1"/>
  <c r="G8" i="1"/>
  <c r="H7" i="1"/>
  <c r="I7" i="1"/>
  <c r="G9" i="1"/>
  <c r="I8" i="1"/>
  <c r="H8" i="1"/>
  <c r="G10" i="1"/>
  <c r="H9" i="1"/>
  <c r="I9" i="1"/>
  <c r="G11" i="1"/>
  <c r="H10" i="1"/>
  <c r="I10" i="1"/>
  <c r="H11" i="1"/>
  <c r="I11" i="1"/>
  <c r="G12" i="1"/>
  <c r="H12" i="1"/>
  <c r="I12" i="1"/>
  <c r="G13" i="1"/>
  <c r="H13" i="1"/>
  <c r="G14" i="1"/>
  <c r="I13" i="1"/>
  <c r="I14" i="1"/>
  <c r="G15" i="1"/>
  <c r="H14" i="1"/>
  <c r="G16" i="1"/>
  <c r="H15" i="1"/>
  <c r="I15" i="1"/>
  <c r="G17" i="1"/>
  <c r="I16" i="1"/>
  <c r="H16" i="1"/>
  <c r="G18" i="1"/>
  <c r="H17" i="1"/>
  <c r="I17" i="1"/>
  <c r="G19" i="1"/>
  <c r="H18" i="1"/>
  <c r="I18" i="1"/>
  <c r="I19" i="1"/>
  <c r="G20" i="1"/>
  <c r="H19" i="1"/>
  <c r="H20" i="1"/>
  <c r="I20" i="1"/>
  <c r="G21" i="1"/>
  <c r="H21" i="1"/>
  <c r="G22" i="1"/>
  <c r="I21" i="1"/>
  <c r="I22" i="1"/>
  <c r="G23" i="1"/>
  <c r="H22" i="1"/>
  <c r="H23" i="1"/>
  <c r="I23" i="1"/>
  <c r="G24" i="1"/>
  <c r="G25" i="1"/>
  <c r="H24" i="1"/>
  <c r="I24" i="1"/>
  <c r="G26" i="1"/>
  <c r="I25" i="1"/>
  <c r="H25" i="1"/>
  <c r="G27" i="1"/>
  <c r="H26" i="1"/>
  <c r="H27" i="1"/>
  <c r="I26" i="1"/>
  <c r="I27" i="1"/>
</calcChain>
</file>

<file path=xl/sharedStrings.xml><?xml version="1.0" encoding="utf-8"?>
<sst xmlns="http://schemas.openxmlformats.org/spreadsheetml/2006/main" count="116" uniqueCount="94">
  <si>
    <t>Tag</t>
  </si>
  <si>
    <t>Datum</t>
  </si>
  <si>
    <t>Start</t>
  </si>
  <si>
    <t>Zwischenstationen</t>
  </si>
  <si>
    <t>Ziel</t>
  </si>
  <si>
    <t>10.</t>
  </si>
  <si>
    <t>Summe</t>
  </si>
  <si>
    <t>11.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</si>
  <si>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</si>
  <si>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</si>
  <si>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</si>
  <si>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</si>
  <si>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</si>
  <si>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</si>
  <si>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</si>
  <si>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</si>
  <si>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</si>
  <si>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</si>
  <si>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</si>
  <si>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</si>
  <si>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</si>
  <si>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</si>
  <si>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</si>
  <si>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</si>
  <si>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</si>
  <si>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</si>
  <si>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</si>
  <si>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</si>
  <si>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</si>
  <si>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</si>
  <si>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</si>
  <si>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</si>
  <si>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</si>
  <si>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</si>
  <si>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</si>
  <si>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12.</t>
  </si>
  <si>
    <t>13.</t>
  </si>
  <si>
    <t>14.</t>
  </si>
  <si>
    <t>15.</t>
  </si>
  <si>
    <t>16.</t>
  </si>
  <si>
    <t>17.</t>
  </si>
  <si>
    <t>18.</t>
  </si>
  <si>
    <t>19.</t>
  </si>
  <si>
    <t>km/h brutto</t>
  </si>
  <si>
    <t>km/h netto</t>
  </si>
  <si>
    <t>20.</t>
  </si>
  <si>
    <t>21.</t>
  </si>
  <si>
    <t>22.</t>
  </si>
  <si>
    <t>23.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</si>
  <si>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</si>
  <si>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</si>
  <si>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</si>
  <si>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</si>
  <si>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</si>
  <si>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</si>
  <si>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</si>
  <si>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</si>
  <si>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</si>
  <si>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 xml:space="preserve">Istanbul - Bodrum (4.-23.11.2021) </t>
  </si>
  <si>
    <r>
      <t>Statistik</t>
    </r>
    <r>
      <rPr>
        <b/>
        <sz val="20"/>
        <rFont val="Arial"/>
        <family val="2"/>
      </rPr>
      <t xml:space="preserve"> Istanbul - Bodrum (4.-23.11.2021) </t>
    </r>
  </si>
  <si>
    <t xml:space="preserve">Istanbul-Airport </t>
  </si>
  <si>
    <t xml:space="preserve">Karaburun </t>
  </si>
  <si>
    <t xml:space="preserve">Silivri </t>
  </si>
  <si>
    <t xml:space="preserve">Marmara Ereğlisi </t>
  </si>
  <si>
    <t xml:space="preserve">Tekirdağ </t>
  </si>
  <si>
    <t xml:space="preserve">Uçmakdere </t>
  </si>
  <si>
    <t xml:space="preserve">Şarköy </t>
  </si>
  <si>
    <t xml:space="preserve">Gelibolu </t>
  </si>
  <si>
    <t xml:space="preserve">Tevfikiye/Troja </t>
  </si>
  <si>
    <t xml:space="preserve">Yeniköy - Geyikli </t>
  </si>
  <si>
    <t xml:space="preserve">Tavaklı İskelesi </t>
  </si>
  <si>
    <t xml:space="preserve">Gülpınar - Assos </t>
  </si>
  <si>
    <t xml:space="preserve">Küçükkuyu </t>
  </si>
  <si>
    <t xml:space="preserve">Akçay </t>
  </si>
  <si>
    <t xml:space="preserve">Ayvalık </t>
  </si>
  <si>
    <t xml:space="preserve">Dikili </t>
  </si>
  <si>
    <t xml:space="preserve">Bergama/Pergamon </t>
  </si>
  <si>
    <t xml:space="preserve">Izmir-Konak </t>
  </si>
  <si>
    <t xml:space="preserve">Ahmetbeyli - Ephesus </t>
  </si>
  <si>
    <t xml:space="preserve">Kuşadası </t>
  </si>
  <si>
    <t xml:space="preserve">Söke - Priene - Milet </t>
  </si>
  <si>
    <t xml:space="preserve">Didim </t>
  </si>
  <si>
    <t xml:space="preserve">Kıyıkışlacık/Iasos </t>
  </si>
  <si>
    <t xml:space="preserve">Çamovalı </t>
  </si>
  <si>
    <t xml:space="preserve">Ören </t>
  </si>
  <si>
    <t xml:space="preserve">Akyaka </t>
  </si>
  <si>
    <t xml:space="preserve">Yeşilbelde </t>
  </si>
  <si>
    <t xml:space="preserve">Hisarönü </t>
  </si>
  <si>
    <t xml:space="preserve">Bodrum </t>
  </si>
  <si>
    <t xml:space="preserve">Güllük </t>
  </si>
  <si>
    <t xml:space="preserve">Milas-Bodrum-Airport </t>
  </si>
  <si>
    <r>
      <t xml:space="preserve">Eceabat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Çanakkale </t>
    </r>
  </si>
  <si>
    <r>
      <t xml:space="preserve">Aliağa - Izmir-Karşıyaka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</t>
    </r>
  </si>
  <si>
    <r>
      <t xml:space="preserve">Datça - </t>
    </r>
    <r>
      <rPr>
        <i/>
        <sz val="10"/>
        <rFont val="Arial"/>
        <family val="2"/>
      </rPr>
      <t>Fähre</t>
    </r>
    <r>
      <rPr>
        <sz val="10"/>
        <rFont val="Arial"/>
        <family val="2"/>
      </rPr>
      <t xml:space="preserve"> -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</si>
</sst>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[h]:mm"/>
    <numFmt numFmtId="180" formatCode="0.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Border="1"/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1" fillId="0" borderId="0" xfId="0" applyNumberFormat="1" applyFont="1" applyBorder="1"/>
    <xf numFmtId="1" fontId="0" fillId="0" borderId="0" xfId="0" applyNumberFormat="1"/>
    <xf numFmtId="180" fontId="4" fillId="0" borderId="1" xfId="0" applyNumberFormat="1" applyFont="1" applyFill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6867B-1943-4D1F-B488-D649A18C9CD2}">
  <sheetPr codeName="Tabelle1"/>
  <dimension ref="A1:AH33"/>
  <sheetViews>
    <sheetView tabSelected="1" zoomScaleNormal="100" workbookViewId="0">
      <selection sqref="A1:F1"/>
    </sheetView>
  </sheetViews>
  <sheetFormatPr baseColWidth="10" defaultRowHeight="12.5"/>
  <cols>
    <col min="1" max="1" width="11.1796875" customWidth="1"/>
    <col min="2" max="2" width="15.1796875" customWidth="1"/>
    <col min="3" max="3" width="23.81640625" customWidth="1"/>
    <col min="4" max="4" width="60.1796875" customWidth="1"/>
    <col min="5" max="5" width="24.453125" customWidth="1"/>
    <col min="6" max="7" width="6.453125" customWidth="1"/>
    <col min="8" max="8" width="4.1796875" customWidth="1"/>
    <col min="9" max="9" width="3.81640625" customWidth="1"/>
    <col min="10" max="10" width="6.179687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81640625" customWidth="1"/>
    <col min="17" max="17" width="6.54296875" customWidth="1"/>
    <col min="18" max="18" width="7.1796875" customWidth="1"/>
    <col min="19" max="20" width="6.1796875" customWidth="1"/>
    <col min="21" max="21" width="6" customWidth="1"/>
    <col min="22" max="22" width="4.81640625" customWidth="1"/>
    <col min="23" max="23" width="6.1796875" customWidth="1"/>
    <col min="24" max="24" width="5.81640625" customWidth="1"/>
    <col min="25" max="26" width="6.1796875" customWidth="1"/>
    <col min="27" max="27" width="6.453125" customWidth="1"/>
    <col min="28" max="28" width="2.81640625" customWidth="1"/>
    <col min="29" max="29" width="4" customWidth="1"/>
    <col min="30" max="30" width="3.453125" customWidth="1"/>
    <col min="31" max="33" width="3.1796875" customWidth="1"/>
    <col min="34" max="34" width="3.54296875" customWidth="1"/>
  </cols>
  <sheetData>
    <row r="1" spans="1:34" ht="26.25" customHeight="1">
      <c r="A1" s="47" t="s">
        <v>58</v>
      </c>
      <c r="B1" s="48"/>
      <c r="C1" s="48"/>
      <c r="D1" s="48"/>
      <c r="E1" s="48"/>
      <c r="F1" s="49"/>
      <c r="G1" s="51" t="s">
        <v>59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>
      <c r="A2" s="50"/>
      <c r="B2" s="50"/>
      <c r="C2" s="50"/>
      <c r="D2" s="50"/>
      <c r="E2" s="50"/>
      <c r="F2" s="50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22</v>
      </c>
      <c r="G3" s="22" t="s">
        <v>26</v>
      </c>
      <c r="H3" s="22" t="s">
        <v>23</v>
      </c>
      <c r="I3" s="22" t="s">
        <v>24</v>
      </c>
      <c r="J3" s="22" t="s">
        <v>8</v>
      </c>
      <c r="K3" s="23" t="s">
        <v>32</v>
      </c>
      <c r="L3" s="22" t="s">
        <v>44</v>
      </c>
      <c r="M3" s="22" t="s">
        <v>25</v>
      </c>
      <c r="N3" s="22" t="s">
        <v>14</v>
      </c>
      <c r="O3" s="23" t="s">
        <v>33</v>
      </c>
      <c r="P3" s="22" t="s">
        <v>43</v>
      </c>
      <c r="Q3" s="22" t="s">
        <v>15</v>
      </c>
      <c r="R3" s="23" t="s">
        <v>34</v>
      </c>
      <c r="S3" s="22" t="s">
        <v>9</v>
      </c>
      <c r="T3" s="22" t="s">
        <v>10</v>
      </c>
      <c r="U3" s="22" t="s">
        <v>31</v>
      </c>
      <c r="V3" s="22" t="s">
        <v>12</v>
      </c>
      <c r="W3" s="23" t="s">
        <v>27</v>
      </c>
      <c r="X3" s="22" t="s">
        <v>13</v>
      </c>
      <c r="Y3" s="23" t="s">
        <v>29</v>
      </c>
      <c r="Z3" s="23" t="s">
        <v>30</v>
      </c>
      <c r="AA3" s="22" t="s">
        <v>11</v>
      </c>
      <c r="AB3" s="24" t="s">
        <v>18</v>
      </c>
      <c r="AC3" s="24" t="s">
        <v>19</v>
      </c>
      <c r="AD3" s="24" t="s">
        <v>20</v>
      </c>
      <c r="AE3" s="24" t="s">
        <v>21</v>
      </c>
      <c r="AF3" s="25" t="s">
        <v>17</v>
      </c>
      <c r="AG3" s="25" t="s">
        <v>16</v>
      </c>
      <c r="AH3" s="25" t="s">
        <v>28</v>
      </c>
    </row>
    <row r="4" spans="1:34" ht="13">
      <c r="A4" s="43" t="s">
        <v>49</v>
      </c>
      <c r="B4" s="44">
        <v>44504</v>
      </c>
      <c r="C4" s="45" t="s">
        <v>60</v>
      </c>
      <c r="D4" s="43"/>
      <c r="E4" s="46" t="s">
        <v>61</v>
      </c>
      <c r="F4" s="45">
        <v>23</v>
      </c>
      <c r="G4" s="10">
        <f>SUM(F4)</f>
        <v>23</v>
      </c>
      <c r="H4" s="11">
        <f>ROUND(PRODUCT(G4/1),0)</f>
        <v>23</v>
      </c>
      <c r="I4" s="11">
        <f>ROUND(PRODUCT(G4/COUNT(F4:F4)),0)</f>
        <v>23</v>
      </c>
      <c r="J4" s="36">
        <v>7.6388888888888895E-2</v>
      </c>
      <c r="K4" s="17">
        <f>SUM(J4)</f>
        <v>7.6388888888888895E-2</v>
      </c>
      <c r="L4" s="41">
        <f t="shared" ref="L4:L26" si="0">IF(F4=0,0,ROUND(PRODUCT(F4/SUM(HOUR(J4),PRODUCT(MINUTE(J4)/60))),1))</f>
        <v>12.5</v>
      </c>
      <c r="M4" s="31">
        <v>42</v>
      </c>
      <c r="N4" s="36">
        <v>8.7500000000000008E-2</v>
      </c>
      <c r="O4" s="17">
        <f>SUM(N4)</f>
        <v>8.7500000000000008E-2</v>
      </c>
      <c r="P4" s="41">
        <f t="shared" ref="P4:P26" si="1">IF(F4=0,0,ROUND(PRODUCT(F4/SUM(HOUR(N4),PRODUCT(MINUTE(N4)/60))),1))</f>
        <v>11</v>
      </c>
      <c r="Q4" s="17">
        <f t="shared" ref="Q4:Q26" si="2">SUM(N4,-J4)</f>
        <v>1.1111111111111113E-2</v>
      </c>
      <c r="R4" s="17">
        <f>SUM(Q4)</f>
        <v>1.1111111111111113E-2</v>
      </c>
      <c r="S4" s="11">
        <v>150</v>
      </c>
      <c r="T4" s="8">
        <v>3</v>
      </c>
      <c r="U4" s="12">
        <f>SUM(-S4,T4)</f>
        <v>-147</v>
      </c>
      <c r="V4" s="11">
        <v>200</v>
      </c>
      <c r="W4" s="12">
        <f>SUM(V4)</f>
        <v>200</v>
      </c>
      <c r="X4" s="11">
        <f t="shared" ref="X4:X26" si="3">SUM(S4,-T4,V4)</f>
        <v>347</v>
      </c>
      <c r="Y4" s="12">
        <f>SUM(X4)</f>
        <v>347</v>
      </c>
      <c r="Z4" s="12">
        <f t="shared" ref="Z4:Z26" si="4">SUM(V4,-X4)</f>
        <v>-147</v>
      </c>
      <c r="AA4" s="11">
        <v>150</v>
      </c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3" t="s">
        <v>50</v>
      </c>
      <c r="B5" s="44">
        <v>44505</v>
      </c>
      <c r="C5" s="45" t="s">
        <v>61</v>
      </c>
      <c r="D5" s="43" t="s">
        <v>62</v>
      </c>
      <c r="E5" s="46" t="s">
        <v>63</v>
      </c>
      <c r="F5" s="45">
        <v>98</v>
      </c>
      <c r="G5" s="14">
        <f>SUM(G4,F5)</f>
        <v>121</v>
      </c>
      <c r="H5" s="8">
        <f>ROUND(PRODUCT(G5/2),0)</f>
        <v>61</v>
      </c>
      <c r="I5" s="8">
        <f>ROUND(PRODUCT(G5/COUNT(F4:F5)),0)</f>
        <v>61</v>
      </c>
      <c r="J5" s="37">
        <v>0.2951388888888889</v>
      </c>
      <c r="K5" s="18">
        <f t="shared" ref="K5:K26" si="5">SUM(J5,K4)</f>
        <v>0.37152777777777779</v>
      </c>
      <c r="L5" s="41">
        <f t="shared" si="0"/>
        <v>13.8</v>
      </c>
      <c r="M5" s="32">
        <v>44</v>
      </c>
      <c r="N5" s="37">
        <v>0.36458333333333331</v>
      </c>
      <c r="O5" s="18">
        <f t="shared" ref="O5:O26" si="6">SUM(N5,O4)</f>
        <v>0.45208333333333334</v>
      </c>
      <c r="P5" s="41">
        <f t="shared" si="1"/>
        <v>11.2</v>
      </c>
      <c r="Q5" s="18">
        <f t="shared" si="2"/>
        <v>6.944444444444442E-2</v>
      </c>
      <c r="R5" s="18">
        <f>SUM(Q5,R4)</f>
        <v>8.0555555555555533E-2</v>
      </c>
      <c r="S5" s="8">
        <v>3</v>
      </c>
      <c r="T5" s="8">
        <v>33</v>
      </c>
      <c r="U5" s="15">
        <f>SUM(-S5,T5)</f>
        <v>30</v>
      </c>
      <c r="V5" s="26">
        <v>750</v>
      </c>
      <c r="W5" s="15">
        <f t="shared" ref="W5:W26" si="7">SUM(W4,V5)</f>
        <v>950</v>
      </c>
      <c r="X5" s="8">
        <f t="shared" si="3"/>
        <v>720</v>
      </c>
      <c r="Y5" s="15">
        <f>SUM(Y4,X5)</f>
        <v>1067</v>
      </c>
      <c r="Z5" s="15">
        <f t="shared" si="4"/>
        <v>30</v>
      </c>
      <c r="AA5" s="8">
        <v>215</v>
      </c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3" t="s">
        <v>51</v>
      </c>
      <c r="B6" s="44">
        <v>44506</v>
      </c>
      <c r="C6" s="45" t="s">
        <v>63</v>
      </c>
      <c r="D6" s="43" t="s">
        <v>64</v>
      </c>
      <c r="E6" s="46" t="s">
        <v>65</v>
      </c>
      <c r="F6" s="45">
        <v>72</v>
      </c>
      <c r="G6" s="14">
        <f t="shared" ref="G6:G26" si="8">SUM(G5,F6)</f>
        <v>193</v>
      </c>
      <c r="H6" s="8">
        <f>ROUND(PRODUCT(G6/3),0)</f>
        <v>64</v>
      </c>
      <c r="I6" s="8">
        <f>ROUND(PRODUCT(G6/COUNT(F4:F6)),0)</f>
        <v>64</v>
      </c>
      <c r="J6" s="37">
        <v>0.22916666666666666</v>
      </c>
      <c r="K6" s="18">
        <f t="shared" si="5"/>
        <v>0.60069444444444442</v>
      </c>
      <c r="L6" s="41">
        <f t="shared" si="0"/>
        <v>13.1</v>
      </c>
      <c r="M6" s="32">
        <v>48</v>
      </c>
      <c r="N6" s="37">
        <v>0.33333333333333331</v>
      </c>
      <c r="O6" s="18">
        <f t="shared" si="6"/>
        <v>0.78541666666666665</v>
      </c>
      <c r="P6" s="41">
        <f t="shared" si="1"/>
        <v>9</v>
      </c>
      <c r="Q6" s="18">
        <f t="shared" si="2"/>
        <v>0.10416666666666666</v>
      </c>
      <c r="R6" s="18">
        <f t="shared" ref="R6:R26" si="9">SUM(Q6,R5)</f>
        <v>0.18472222222222218</v>
      </c>
      <c r="S6" s="8">
        <v>33</v>
      </c>
      <c r="T6" s="26">
        <v>36</v>
      </c>
      <c r="U6" s="15">
        <f t="shared" ref="U6:U26" si="10">SUM(-S6,T6)</f>
        <v>3</v>
      </c>
      <c r="V6" s="26">
        <v>880</v>
      </c>
      <c r="W6" s="15">
        <f t="shared" si="7"/>
        <v>1830</v>
      </c>
      <c r="X6" s="8">
        <f t="shared" si="3"/>
        <v>877</v>
      </c>
      <c r="Y6" s="15">
        <f t="shared" ref="Y6:Y26" si="11">SUM(Y5,X6)</f>
        <v>1944</v>
      </c>
      <c r="Z6" s="15">
        <f t="shared" si="4"/>
        <v>3</v>
      </c>
      <c r="AA6" s="8">
        <v>380</v>
      </c>
      <c r="AB6" s="8"/>
      <c r="AC6" s="27"/>
      <c r="AD6" s="26"/>
      <c r="AE6" s="27"/>
      <c r="AF6" s="27"/>
      <c r="AG6" s="27"/>
      <c r="AH6" s="16">
        <f t="shared" ref="AH6:AH26" si="12">SUM(AG6,-AF6)</f>
        <v>0</v>
      </c>
    </row>
    <row r="7" spans="1:34" ht="13">
      <c r="A7" s="43" t="s">
        <v>52</v>
      </c>
      <c r="B7" s="44">
        <v>44507</v>
      </c>
      <c r="C7" s="45" t="s">
        <v>65</v>
      </c>
      <c r="D7" s="43" t="s">
        <v>66</v>
      </c>
      <c r="E7" s="46" t="s">
        <v>67</v>
      </c>
      <c r="F7" s="45">
        <v>88</v>
      </c>
      <c r="G7" s="14">
        <f t="shared" si="8"/>
        <v>281</v>
      </c>
      <c r="H7" s="8">
        <f>ROUND(PRODUCT(G7/4),0)</f>
        <v>70</v>
      </c>
      <c r="I7" s="8">
        <f>ROUND(PRODUCT(G7/COUNT(F4:F7)),0)</f>
        <v>70</v>
      </c>
      <c r="J7" s="37">
        <v>0.24930555555555556</v>
      </c>
      <c r="K7" s="18">
        <f t="shared" si="5"/>
        <v>0.85</v>
      </c>
      <c r="L7" s="41">
        <f t="shared" si="0"/>
        <v>14.7</v>
      </c>
      <c r="M7" s="33">
        <v>55</v>
      </c>
      <c r="N7" s="37">
        <v>0.33333333333333331</v>
      </c>
      <c r="O7" s="18">
        <f t="shared" si="6"/>
        <v>1.1187499999999999</v>
      </c>
      <c r="P7" s="41">
        <f t="shared" si="1"/>
        <v>11</v>
      </c>
      <c r="Q7" s="18">
        <f t="shared" si="2"/>
        <v>8.4027777777777757E-2</v>
      </c>
      <c r="R7" s="18">
        <f t="shared" si="9"/>
        <v>0.26874999999999993</v>
      </c>
      <c r="S7" s="26">
        <v>36</v>
      </c>
      <c r="T7" s="26">
        <v>3</v>
      </c>
      <c r="U7" s="15">
        <f t="shared" si="10"/>
        <v>-33</v>
      </c>
      <c r="V7" s="26">
        <v>620</v>
      </c>
      <c r="W7" s="15">
        <f t="shared" si="7"/>
        <v>2450</v>
      </c>
      <c r="X7" s="8">
        <f t="shared" si="3"/>
        <v>653</v>
      </c>
      <c r="Y7" s="15">
        <f t="shared" si="11"/>
        <v>2597</v>
      </c>
      <c r="Z7" s="15">
        <f t="shared" si="4"/>
        <v>-33</v>
      </c>
      <c r="AA7" s="26">
        <v>230</v>
      </c>
      <c r="AB7" s="26"/>
      <c r="AC7" s="27"/>
      <c r="AD7" s="26"/>
      <c r="AE7" s="27"/>
      <c r="AF7" s="27"/>
      <c r="AG7" s="27"/>
      <c r="AH7" s="16">
        <f t="shared" si="12"/>
        <v>0</v>
      </c>
    </row>
    <row r="8" spans="1:34" ht="13">
      <c r="A8" s="43" t="s">
        <v>53</v>
      </c>
      <c r="B8" s="44">
        <v>44508</v>
      </c>
      <c r="C8" s="45" t="s">
        <v>67</v>
      </c>
      <c r="D8" s="43" t="s">
        <v>91</v>
      </c>
      <c r="E8" s="46" t="s">
        <v>68</v>
      </c>
      <c r="F8" s="45">
        <v>79</v>
      </c>
      <c r="G8" s="14">
        <f t="shared" si="8"/>
        <v>360</v>
      </c>
      <c r="H8" s="8">
        <f>ROUND(PRODUCT(G8/5),0)</f>
        <v>72</v>
      </c>
      <c r="I8" s="8">
        <f>ROUND(PRODUCT(G8/COUNT(F4:F8)),0)</f>
        <v>72</v>
      </c>
      <c r="J8" s="37">
        <v>0.22916666666666666</v>
      </c>
      <c r="K8" s="18">
        <f t="shared" si="5"/>
        <v>1.0791666666666666</v>
      </c>
      <c r="L8" s="41">
        <f t="shared" si="0"/>
        <v>14.4</v>
      </c>
      <c r="M8" s="33">
        <v>46</v>
      </c>
      <c r="N8" s="37">
        <v>0.32291666666666669</v>
      </c>
      <c r="O8" s="18">
        <f t="shared" si="6"/>
        <v>1.4416666666666667</v>
      </c>
      <c r="P8" s="41">
        <f t="shared" si="1"/>
        <v>10.199999999999999</v>
      </c>
      <c r="Q8" s="18">
        <f t="shared" si="2"/>
        <v>9.3750000000000028E-2</v>
      </c>
      <c r="R8" s="18">
        <f t="shared" si="9"/>
        <v>0.36249999999999993</v>
      </c>
      <c r="S8" s="26">
        <v>3</v>
      </c>
      <c r="T8" s="26">
        <v>33</v>
      </c>
      <c r="U8" s="15">
        <f t="shared" si="10"/>
        <v>30</v>
      </c>
      <c r="V8" s="26">
        <v>350</v>
      </c>
      <c r="W8" s="15">
        <f t="shared" si="7"/>
        <v>2800</v>
      </c>
      <c r="X8" s="8">
        <f t="shared" si="3"/>
        <v>320</v>
      </c>
      <c r="Y8" s="15">
        <f t="shared" si="11"/>
        <v>2917</v>
      </c>
      <c r="Z8" s="15">
        <f t="shared" si="4"/>
        <v>30</v>
      </c>
      <c r="AA8" s="26">
        <v>70</v>
      </c>
      <c r="AB8" s="26"/>
      <c r="AC8" s="27"/>
      <c r="AD8" s="26"/>
      <c r="AE8" s="27"/>
      <c r="AF8" s="27"/>
      <c r="AG8" s="27"/>
      <c r="AH8" s="16">
        <f t="shared" si="12"/>
        <v>0</v>
      </c>
    </row>
    <row r="9" spans="1:34" ht="13">
      <c r="A9" s="43" t="s">
        <v>54</v>
      </c>
      <c r="B9" s="44">
        <v>44509</v>
      </c>
      <c r="C9" s="45" t="s">
        <v>68</v>
      </c>
      <c r="D9" s="43" t="s">
        <v>69</v>
      </c>
      <c r="E9" s="46" t="s">
        <v>70</v>
      </c>
      <c r="F9" s="45">
        <v>51</v>
      </c>
      <c r="G9" s="14">
        <f t="shared" si="8"/>
        <v>411</v>
      </c>
      <c r="H9" s="8">
        <f>ROUND(PRODUCT(G9/6),0)</f>
        <v>69</v>
      </c>
      <c r="I9" s="8">
        <f>ROUND(PRODUCT(G9/COUNT(F4:F9)),0)</f>
        <v>69</v>
      </c>
      <c r="J9" s="37">
        <v>0.15694444444444444</v>
      </c>
      <c r="K9" s="18">
        <f t="shared" si="5"/>
        <v>1.2361111111111112</v>
      </c>
      <c r="L9" s="41">
        <f t="shared" si="0"/>
        <v>13.5</v>
      </c>
      <c r="M9" s="33">
        <v>38</v>
      </c>
      <c r="N9" s="37">
        <v>0.20833333333333334</v>
      </c>
      <c r="O9" s="18">
        <f t="shared" si="6"/>
        <v>1.65</v>
      </c>
      <c r="P9" s="41">
        <f t="shared" si="1"/>
        <v>10.199999999999999</v>
      </c>
      <c r="Q9" s="18">
        <f t="shared" si="2"/>
        <v>5.1388888888888901E-2</v>
      </c>
      <c r="R9" s="18">
        <f t="shared" si="9"/>
        <v>0.41388888888888886</v>
      </c>
      <c r="S9" s="26">
        <v>33</v>
      </c>
      <c r="T9" s="26">
        <v>3</v>
      </c>
      <c r="U9" s="15">
        <f t="shared" si="10"/>
        <v>-30</v>
      </c>
      <c r="V9" s="26">
        <v>300</v>
      </c>
      <c r="W9" s="15">
        <f t="shared" si="7"/>
        <v>3100</v>
      </c>
      <c r="X9" s="8">
        <f t="shared" si="3"/>
        <v>330</v>
      </c>
      <c r="Y9" s="15">
        <f t="shared" si="11"/>
        <v>3247</v>
      </c>
      <c r="Z9" s="15">
        <f t="shared" si="4"/>
        <v>-30</v>
      </c>
      <c r="AA9" s="26">
        <v>85</v>
      </c>
      <c r="AB9" s="26"/>
      <c r="AC9" s="27"/>
      <c r="AD9" s="26"/>
      <c r="AE9" s="27"/>
      <c r="AF9" s="27"/>
      <c r="AG9" s="27"/>
      <c r="AH9" s="16">
        <f t="shared" si="12"/>
        <v>0</v>
      </c>
    </row>
    <row r="10" spans="1:34" ht="13">
      <c r="A10" s="43" t="s">
        <v>55</v>
      </c>
      <c r="B10" s="44">
        <v>44510</v>
      </c>
      <c r="C10" s="45"/>
      <c r="D10" s="43" t="s">
        <v>70</v>
      </c>
      <c r="E10" s="46"/>
      <c r="F10" s="45"/>
      <c r="G10" s="14">
        <f t="shared" si="8"/>
        <v>411</v>
      </c>
      <c r="H10" s="8">
        <f>ROUND(PRODUCT(G10/7),0)</f>
        <v>59</v>
      </c>
      <c r="I10" s="8">
        <f>ROUND(PRODUCT(G10/COUNT(F4:F10)),0)</f>
        <v>69</v>
      </c>
      <c r="J10" s="37"/>
      <c r="K10" s="18">
        <f t="shared" si="5"/>
        <v>1.2361111111111112</v>
      </c>
      <c r="L10" s="41">
        <f t="shared" si="0"/>
        <v>0</v>
      </c>
      <c r="M10" s="32"/>
      <c r="N10" s="37"/>
      <c r="O10" s="18">
        <f t="shared" si="6"/>
        <v>1.65</v>
      </c>
      <c r="P10" s="41">
        <f t="shared" si="1"/>
        <v>0</v>
      </c>
      <c r="Q10" s="18">
        <f t="shared" si="2"/>
        <v>0</v>
      </c>
      <c r="R10" s="18">
        <f t="shared" si="9"/>
        <v>0.41388888888888886</v>
      </c>
      <c r="S10" s="26"/>
      <c r="T10" s="8"/>
      <c r="U10" s="15">
        <f t="shared" si="10"/>
        <v>0</v>
      </c>
      <c r="V10" s="26"/>
      <c r="W10" s="15">
        <f t="shared" si="7"/>
        <v>3100</v>
      </c>
      <c r="X10" s="8">
        <f t="shared" si="3"/>
        <v>0</v>
      </c>
      <c r="Y10" s="15">
        <f t="shared" si="11"/>
        <v>3247</v>
      </c>
      <c r="Z10" s="15">
        <f t="shared" si="4"/>
        <v>0</v>
      </c>
      <c r="AA10" s="8"/>
      <c r="AB10" s="8"/>
      <c r="AC10" s="27"/>
      <c r="AD10" s="26"/>
      <c r="AE10" s="27"/>
      <c r="AF10" s="27"/>
      <c r="AG10" s="27"/>
      <c r="AH10" s="16">
        <f t="shared" si="12"/>
        <v>0</v>
      </c>
    </row>
    <row r="11" spans="1:34" ht="13">
      <c r="A11" s="43" t="s">
        <v>56</v>
      </c>
      <c r="B11" s="44">
        <v>44511</v>
      </c>
      <c r="C11" s="45" t="s">
        <v>70</v>
      </c>
      <c r="D11" s="43" t="s">
        <v>71</v>
      </c>
      <c r="E11" s="46" t="s">
        <v>72</v>
      </c>
      <c r="F11" s="45">
        <v>67</v>
      </c>
      <c r="G11" s="14">
        <f t="shared" si="8"/>
        <v>478</v>
      </c>
      <c r="H11" s="8">
        <f>ROUND(PRODUCT(G11/8),0)</f>
        <v>60</v>
      </c>
      <c r="I11" s="8">
        <f>ROUND(PRODUCT(G11/COUNT(F4:F11)),0)</f>
        <v>68</v>
      </c>
      <c r="J11" s="37">
        <v>0.23819444444444446</v>
      </c>
      <c r="K11" s="18">
        <f t="shared" si="5"/>
        <v>1.4743055555555555</v>
      </c>
      <c r="L11" s="41">
        <f t="shared" si="0"/>
        <v>11.7</v>
      </c>
      <c r="M11" s="33">
        <v>47</v>
      </c>
      <c r="N11" s="37">
        <v>0.33333333333333331</v>
      </c>
      <c r="O11" s="18">
        <f t="shared" si="6"/>
        <v>1.9833333333333332</v>
      </c>
      <c r="P11" s="41">
        <f t="shared" si="1"/>
        <v>8.4</v>
      </c>
      <c r="Q11" s="18">
        <f t="shared" si="2"/>
        <v>9.5138888888888856E-2</v>
      </c>
      <c r="R11" s="18">
        <f t="shared" si="9"/>
        <v>0.50902777777777775</v>
      </c>
      <c r="S11" s="26">
        <v>3</v>
      </c>
      <c r="T11" s="26">
        <v>3</v>
      </c>
      <c r="U11" s="15">
        <f t="shared" si="10"/>
        <v>0</v>
      </c>
      <c r="V11" s="26">
        <v>710</v>
      </c>
      <c r="W11" s="15">
        <f t="shared" si="7"/>
        <v>3810</v>
      </c>
      <c r="X11" s="8">
        <f t="shared" si="3"/>
        <v>710</v>
      </c>
      <c r="Y11" s="15">
        <f t="shared" si="11"/>
        <v>3957</v>
      </c>
      <c r="Z11" s="15">
        <f t="shared" si="4"/>
        <v>0</v>
      </c>
      <c r="AA11" s="26">
        <v>370</v>
      </c>
      <c r="AB11" s="26"/>
      <c r="AC11" s="27"/>
      <c r="AD11" s="26"/>
      <c r="AE11" s="27"/>
      <c r="AF11" s="27"/>
      <c r="AG11" s="27"/>
      <c r="AH11" s="16">
        <f t="shared" si="12"/>
        <v>0</v>
      </c>
    </row>
    <row r="12" spans="1:34" ht="13">
      <c r="A12" s="43" t="s">
        <v>57</v>
      </c>
      <c r="B12" s="44">
        <v>44512</v>
      </c>
      <c r="C12" s="45" t="s">
        <v>72</v>
      </c>
      <c r="D12" s="43" t="s">
        <v>73</v>
      </c>
      <c r="E12" s="46" t="s">
        <v>74</v>
      </c>
      <c r="F12" s="45">
        <v>80</v>
      </c>
      <c r="G12" s="14">
        <f t="shared" si="8"/>
        <v>558</v>
      </c>
      <c r="H12" s="8">
        <f>ROUND(PRODUCT(G12/9),0)</f>
        <v>62</v>
      </c>
      <c r="I12" s="8">
        <f>ROUND(PRODUCT(G12/COUNT(F4:F12)),0)</f>
        <v>70</v>
      </c>
      <c r="J12" s="37">
        <v>0.23819444444444446</v>
      </c>
      <c r="K12" s="18">
        <f t="shared" si="5"/>
        <v>1.7124999999999999</v>
      </c>
      <c r="L12" s="41">
        <f t="shared" si="0"/>
        <v>14</v>
      </c>
      <c r="M12" s="32">
        <v>41</v>
      </c>
      <c r="N12" s="37">
        <v>0.31944444444444448</v>
      </c>
      <c r="O12" s="18">
        <f t="shared" si="6"/>
        <v>2.3027777777777776</v>
      </c>
      <c r="P12" s="41">
        <f t="shared" si="1"/>
        <v>10.4</v>
      </c>
      <c r="Q12" s="18">
        <f t="shared" si="2"/>
        <v>8.1250000000000017E-2</v>
      </c>
      <c r="R12" s="18">
        <f t="shared" si="9"/>
        <v>0.59027777777777779</v>
      </c>
      <c r="S12" s="26">
        <v>3</v>
      </c>
      <c r="T12" s="26">
        <v>13</v>
      </c>
      <c r="U12" s="15">
        <f t="shared" si="10"/>
        <v>10</v>
      </c>
      <c r="V12" s="26">
        <v>180</v>
      </c>
      <c r="W12" s="15">
        <f t="shared" si="7"/>
        <v>3990</v>
      </c>
      <c r="X12" s="8">
        <f t="shared" si="3"/>
        <v>170</v>
      </c>
      <c r="Y12" s="15">
        <f t="shared" si="11"/>
        <v>4127</v>
      </c>
      <c r="Z12" s="15">
        <f t="shared" si="4"/>
        <v>10</v>
      </c>
      <c r="AA12" s="26">
        <v>70</v>
      </c>
      <c r="AB12" s="8"/>
      <c r="AC12" s="27"/>
      <c r="AD12" s="26"/>
      <c r="AE12" s="27"/>
      <c r="AF12" s="27"/>
      <c r="AG12" s="27"/>
      <c r="AH12" s="16">
        <f t="shared" si="12"/>
        <v>0</v>
      </c>
    </row>
    <row r="13" spans="1:34" ht="13">
      <c r="A13" s="43" t="s">
        <v>5</v>
      </c>
      <c r="B13" s="44">
        <v>44513</v>
      </c>
      <c r="C13" s="45" t="s">
        <v>74</v>
      </c>
      <c r="D13" s="43" t="s">
        <v>75</v>
      </c>
      <c r="E13" s="46" t="s">
        <v>76</v>
      </c>
      <c r="F13" s="45">
        <v>80</v>
      </c>
      <c r="G13" s="14">
        <f t="shared" si="8"/>
        <v>638</v>
      </c>
      <c r="H13" s="8">
        <f>ROUND(PRODUCT(G13/10),0)</f>
        <v>64</v>
      </c>
      <c r="I13" s="8">
        <f>ROUND(PRODUCT(G13/COUNT(F4:F13)),0)</f>
        <v>71</v>
      </c>
      <c r="J13" s="37">
        <v>0.21388888888888891</v>
      </c>
      <c r="K13" s="18">
        <f t="shared" si="5"/>
        <v>1.9263888888888889</v>
      </c>
      <c r="L13" s="41">
        <f t="shared" si="0"/>
        <v>15.6</v>
      </c>
      <c r="M13" s="33">
        <v>42</v>
      </c>
      <c r="N13" s="37">
        <v>0.35416666666666669</v>
      </c>
      <c r="O13" s="18">
        <f t="shared" si="6"/>
        <v>2.6569444444444441</v>
      </c>
      <c r="P13" s="41">
        <f t="shared" si="1"/>
        <v>9.4</v>
      </c>
      <c r="Q13" s="18">
        <f t="shared" si="2"/>
        <v>0.14027777777777778</v>
      </c>
      <c r="R13" s="18">
        <f t="shared" si="9"/>
        <v>0.73055555555555562</v>
      </c>
      <c r="S13" s="26">
        <v>13</v>
      </c>
      <c r="T13" s="26">
        <v>62</v>
      </c>
      <c r="U13" s="15">
        <f t="shared" si="10"/>
        <v>49</v>
      </c>
      <c r="V13" s="26">
        <v>350</v>
      </c>
      <c r="W13" s="15">
        <f t="shared" si="7"/>
        <v>4340</v>
      </c>
      <c r="X13" s="8">
        <f t="shared" si="3"/>
        <v>301</v>
      </c>
      <c r="Y13" s="15">
        <f t="shared" si="11"/>
        <v>4428</v>
      </c>
      <c r="Z13" s="15">
        <f t="shared" si="4"/>
        <v>49</v>
      </c>
      <c r="AA13" s="26">
        <v>300</v>
      </c>
      <c r="AB13" s="26"/>
      <c r="AC13" s="27"/>
      <c r="AD13" s="26"/>
      <c r="AE13" s="27"/>
      <c r="AF13" s="27"/>
      <c r="AG13" s="27"/>
      <c r="AH13" s="16">
        <f t="shared" si="12"/>
        <v>0</v>
      </c>
    </row>
    <row r="14" spans="1:34" ht="13">
      <c r="A14" s="43" t="s">
        <v>7</v>
      </c>
      <c r="B14" s="44">
        <v>44514</v>
      </c>
      <c r="C14" s="45" t="s">
        <v>76</v>
      </c>
      <c r="D14" s="43" t="s">
        <v>92</v>
      </c>
      <c r="E14" s="46" t="s">
        <v>77</v>
      </c>
      <c r="F14" s="45">
        <v>100</v>
      </c>
      <c r="G14" s="14">
        <f t="shared" si="8"/>
        <v>738</v>
      </c>
      <c r="H14" s="8">
        <f>ROUND(PRODUCT(G14/11),0)</f>
        <v>67</v>
      </c>
      <c r="I14" s="8">
        <f>ROUND(PRODUCT(G14/COUNT(F4:F14)),0)</f>
        <v>74</v>
      </c>
      <c r="J14" s="37">
        <v>0.23958333333333334</v>
      </c>
      <c r="K14" s="18">
        <f t="shared" si="5"/>
        <v>2.1659722222222224</v>
      </c>
      <c r="L14" s="41">
        <f t="shared" si="0"/>
        <v>17.399999999999999</v>
      </c>
      <c r="M14" s="33">
        <v>43</v>
      </c>
      <c r="N14" s="37">
        <v>0.35416666666666669</v>
      </c>
      <c r="O14" s="18">
        <f t="shared" si="6"/>
        <v>3.0111111111111106</v>
      </c>
      <c r="P14" s="41">
        <f t="shared" si="1"/>
        <v>11.8</v>
      </c>
      <c r="Q14" s="18">
        <f t="shared" si="2"/>
        <v>0.11458333333333334</v>
      </c>
      <c r="R14" s="18">
        <f t="shared" si="9"/>
        <v>0.84513888888888899</v>
      </c>
      <c r="S14" s="26">
        <v>62</v>
      </c>
      <c r="T14" s="26">
        <v>3</v>
      </c>
      <c r="U14" s="15">
        <f t="shared" si="10"/>
        <v>-59</v>
      </c>
      <c r="V14" s="26">
        <v>225</v>
      </c>
      <c r="W14" s="15">
        <f t="shared" si="7"/>
        <v>4565</v>
      </c>
      <c r="X14" s="8">
        <f t="shared" si="3"/>
        <v>284</v>
      </c>
      <c r="Y14" s="15">
        <f t="shared" si="11"/>
        <v>4712</v>
      </c>
      <c r="Z14" s="15">
        <f t="shared" si="4"/>
        <v>-59</v>
      </c>
      <c r="AA14" s="26">
        <v>62</v>
      </c>
      <c r="AB14" s="26"/>
      <c r="AC14" s="27"/>
      <c r="AD14" s="26"/>
      <c r="AE14" s="27"/>
      <c r="AF14" s="27"/>
      <c r="AG14" s="27"/>
      <c r="AH14" s="16">
        <f t="shared" si="12"/>
        <v>0</v>
      </c>
    </row>
    <row r="15" spans="1:34" ht="13">
      <c r="A15" s="43" t="s">
        <v>35</v>
      </c>
      <c r="B15" s="44">
        <v>44515</v>
      </c>
      <c r="C15" s="45" t="s">
        <v>77</v>
      </c>
      <c r="D15" s="43" t="s">
        <v>78</v>
      </c>
      <c r="E15" s="46" t="s">
        <v>79</v>
      </c>
      <c r="F15" s="45">
        <v>95</v>
      </c>
      <c r="G15" s="14">
        <f t="shared" si="8"/>
        <v>833</v>
      </c>
      <c r="H15" s="8">
        <f>ROUND(PRODUCT(G15/12),0)</f>
        <v>69</v>
      </c>
      <c r="I15" s="8">
        <f>ROUND(PRODUCT(G15/COUNT(F4:F15)),0)</f>
        <v>76</v>
      </c>
      <c r="J15" s="37">
        <v>0.23958333333333334</v>
      </c>
      <c r="K15" s="18">
        <f t="shared" si="5"/>
        <v>2.4055555555555559</v>
      </c>
      <c r="L15" s="41">
        <f t="shared" si="0"/>
        <v>16.5</v>
      </c>
      <c r="M15" s="32">
        <v>54</v>
      </c>
      <c r="N15" s="37">
        <v>0.375</v>
      </c>
      <c r="O15" s="18">
        <f t="shared" si="6"/>
        <v>3.3861111111111106</v>
      </c>
      <c r="P15" s="41">
        <f t="shared" si="1"/>
        <v>10.6</v>
      </c>
      <c r="Q15" s="18">
        <f t="shared" si="2"/>
        <v>0.13541666666666666</v>
      </c>
      <c r="R15" s="18">
        <f t="shared" si="9"/>
        <v>0.98055555555555562</v>
      </c>
      <c r="S15" s="8">
        <v>3</v>
      </c>
      <c r="T15" s="26">
        <v>3</v>
      </c>
      <c r="U15" s="15">
        <f t="shared" si="10"/>
        <v>0</v>
      </c>
      <c r="V15" s="26">
        <v>540</v>
      </c>
      <c r="W15" s="15">
        <f t="shared" si="7"/>
        <v>5105</v>
      </c>
      <c r="X15" s="8">
        <f t="shared" si="3"/>
        <v>540</v>
      </c>
      <c r="Y15" s="15">
        <f t="shared" si="11"/>
        <v>5252</v>
      </c>
      <c r="Z15" s="15">
        <f t="shared" si="4"/>
        <v>0</v>
      </c>
      <c r="AA15" s="26">
        <v>140</v>
      </c>
      <c r="AB15" s="8"/>
      <c r="AC15" s="27"/>
      <c r="AD15" s="26"/>
      <c r="AE15" s="27"/>
      <c r="AF15" s="27"/>
      <c r="AG15" s="27"/>
      <c r="AH15" s="16">
        <f t="shared" si="12"/>
        <v>0</v>
      </c>
    </row>
    <row r="16" spans="1:34" ht="13">
      <c r="A16" s="43" t="s">
        <v>36</v>
      </c>
      <c r="B16" s="44">
        <v>44516</v>
      </c>
      <c r="C16" s="45"/>
      <c r="D16" s="43" t="s">
        <v>79</v>
      </c>
      <c r="E16" s="46"/>
      <c r="F16" s="45"/>
      <c r="G16" s="14">
        <f t="shared" si="8"/>
        <v>833</v>
      </c>
      <c r="H16" s="8">
        <f>ROUND(PRODUCT(G16/13),0)</f>
        <v>64</v>
      </c>
      <c r="I16" s="8">
        <f>ROUND(PRODUCT(G16/COUNT(F4:F16)),0)</f>
        <v>76</v>
      </c>
      <c r="J16" s="37"/>
      <c r="K16" s="18">
        <f t="shared" si="5"/>
        <v>2.4055555555555559</v>
      </c>
      <c r="L16" s="41">
        <f t="shared" si="0"/>
        <v>0</v>
      </c>
      <c r="M16" s="32"/>
      <c r="N16" s="37"/>
      <c r="O16" s="18">
        <f t="shared" si="6"/>
        <v>3.3861111111111106</v>
      </c>
      <c r="P16" s="41">
        <f t="shared" si="1"/>
        <v>0</v>
      </c>
      <c r="Q16" s="18">
        <f t="shared" si="2"/>
        <v>0</v>
      </c>
      <c r="R16" s="18">
        <f t="shared" si="9"/>
        <v>0.98055555555555562</v>
      </c>
      <c r="S16" s="8"/>
      <c r="T16" s="8"/>
      <c r="U16" s="15">
        <f t="shared" si="10"/>
        <v>0</v>
      </c>
      <c r="V16" s="26"/>
      <c r="W16" s="15">
        <f t="shared" si="7"/>
        <v>5105</v>
      </c>
      <c r="X16" s="8">
        <f t="shared" si="3"/>
        <v>0</v>
      </c>
      <c r="Y16" s="15">
        <f t="shared" si="11"/>
        <v>5252</v>
      </c>
      <c r="Z16" s="15">
        <f t="shared" si="4"/>
        <v>0</v>
      </c>
      <c r="AA16" s="8"/>
      <c r="AB16" s="8"/>
      <c r="AC16" s="27"/>
      <c r="AD16" s="26"/>
      <c r="AE16" s="27"/>
      <c r="AF16" s="27"/>
      <c r="AG16" s="27"/>
      <c r="AH16" s="16">
        <f t="shared" si="12"/>
        <v>0</v>
      </c>
    </row>
    <row r="17" spans="1:34" ht="13">
      <c r="A17" s="43" t="s">
        <v>37</v>
      </c>
      <c r="B17" s="44">
        <v>44517</v>
      </c>
      <c r="C17" s="45" t="s">
        <v>79</v>
      </c>
      <c r="D17" s="43" t="s">
        <v>80</v>
      </c>
      <c r="E17" s="46" t="s">
        <v>81</v>
      </c>
      <c r="F17" s="45">
        <v>87</v>
      </c>
      <c r="G17" s="14">
        <f t="shared" si="8"/>
        <v>920</v>
      </c>
      <c r="H17" s="8">
        <f>ROUND(PRODUCT(G17/14),0)</f>
        <v>66</v>
      </c>
      <c r="I17" s="8">
        <f>ROUND(PRODUCT(G17/COUNT(F4:F17)),0)</f>
        <v>77</v>
      </c>
      <c r="J17" s="37">
        <v>0.25416666666666665</v>
      </c>
      <c r="K17" s="18">
        <f t="shared" si="5"/>
        <v>2.6597222222222223</v>
      </c>
      <c r="L17" s="41">
        <f t="shared" si="0"/>
        <v>14.3</v>
      </c>
      <c r="M17" s="32">
        <v>69</v>
      </c>
      <c r="N17" s="37">
        <v>0.35416666666666669</v>
      </c>
      <c r="O17" s="18">
        <f t="shared" si="6"/>
        <v>3.7402777777777771</v>
      </c>
      <c r="P17" s="41">
        <f t="shared" si="1"/>
        <v>10.199999999999999</v>
      </c>
      <c r="Q17" s="18">
        <f t="shared" si="2"/>
        <v>0.10000000000000003</v>
      </c>
      <c r="R17" s="18">
        <f t="shared" si="9"/>
        <v>1.0805555555555557</v>
      </c>
      <c r="S17" s="8">
        <v>3</v>
      </c>
      <c r="T17" s="26">
        <v>3</v>
      </c>
      <c r="U17" s="15">
        <f t="shared" si="10"/>
        <v>0</v>
      </c>
      <c r="V17" s="26">
        <v>565</v>
      </c>
      <c r="W17" s="15">
        <f t="shared" si="7"/>
        <v>5670</v>
      </c>
      <c r="X17" s="8">
        <f t="shared" si="3"/>
        <v>565</v>
      </c>
      <c r="Y17" s="15">
        <f t="shared" si="11"/>
        <v>5817</v>
      </c>
      <c r="Z17" s="15">
        <f t="shared" si="4"/>
        <v>0</v>
      </c>
      <c r="AA17" s="26">
        <v>280</v>
      </c>
      <c r="AB17" s="8"/>
      <c r="AC17" s="27"/>
      <c r="AD17" s="26"/>
      <c r="AE17" s="27"/>
      <c r="AF17" s="27"/>
      <c r="AG17" s="27"/>
      <c r="AH17" s="16">
        <f t="shared" si="12"/>
        <v>0</v>
      </c>
    </row>
    <row r="18" spans="1:34" ht="13">
      <c r="A18" s="43" t="s">
        <v>38</v>
      </c>
      <c r="B18" s="44">
        <v>44518</v>
      </c>
      <c r="C18" s="45"/>
      <c r="D18" s="43" t="s">
        <v>81</v>
      </c>
      <c r="E18" s="46"/>
      <c r="F18" s="45">
        <v>17</v>
      </c>
      <c r="G18" s="14">
        <f t="shared" si="8"/>
        <v>937</v>
      </c>
      <c r="H18" s="8">
        <f>ROUND(PRODUCT(G18/15),0)</f>
        <v>62</v>
      </c>
      <c r="I18" s="8">
        <f>ROUND(PRODUCT(G18/COUNT(F4:F18)),0)</f>
        <v>72</v>
      </c>
      <c r="J18" s="37">
        <v>5.7638888888888885E-2</v>
      </c>
      <c r="K18" s="18">
        <f t="shared" si="5"/>
        <v>2.7173611111111113</v>
      </c>
      <c r="L18" s="41">
        <f t="shared" si="0"/>
        <v>12.3</v>
      </c>
      <c r="M18" s="32">
        <v>47</v>
      </c>
      <c r="N18" s="37">
        <v>0.15625</v>
      </c>
      <c r="O18" s="18">
        <f t="shared" si="6"/>
        <v>3.8965277777777771</v>
      </c>
      <c r="P18" s="41">
        <f t="shared" si="1"/>
        <v>4.5</v>
      </c>
      <c r="Q18" s="18">
        <f t="shared" si="2"/>
        <v>9.8611111111111122E-2</v>
      </c>
      <c r="R18" s="18">
        <f t="shared" si="9"/>
        <v>1.1791666666666669</v>
      </c>
      <c r="S18" s="26">
        <v>3</v>
      </c>
      <c r="T18" s="26">
        <v>3</v>
      </c>
      <c r="U18" s="15">
        <f t="shared" si="10"/>
        <v>0</v>
      </c>
      <c r="V18" s="26">
        <v>100</v>
      </c>
      <c r="W18" s="15">
        <f t="shared" si="7"/>
        <v>5770</v>
      </c>
      <c r="X18" s="8">
        <f t="shared" si="3"/>
        <v>100</v>
      </c>
      <c r="Y18" s="15">
        <f t="shared" si="11"/>
        <v>5917</v>
      </c>
      <c r="Z18" s="15">
        <f t="shared" si="4"/>
        <v>0</v>
      </c>
      <c r="AA18" s="26">
        <v>80</v>
      </c>
      <c r="AB18" s="8"/>
      <c r="AC18" s="27"/>
      <c r="AD18" s="26"/>
      <c r="AE18" s="27"/>
      <c r="AF18" s="27"/>
      <c r="AG18" s="27"/>
      <c r="AH18" s="16">
        <f t="shared" si="12"/>
        <v>0</v>
      </c>
    </row>
    <row r="19" spans="1:34" ht="13">
      <c r="A19" s="43" t="s">
        <v>39</v>
      </c>
      <c r="B19" s="44">
        <v>44519</v>
      </c>
      <c r="C19" s="45" t="s">
        <v>81</v>
      </c>
      <c r="D19" s="43"/>
      <c r="E19" s="46" t="s">
        <v>82</v>
      </c>
      <c r="F19" s="45">
        <v>53</v>
      </c>
      <c r="G19" s="14">
        <f t="shared" si="8"/>
        <v>990</v>
      </c>
      <c r="H19" s="8">
        <f>ROUND(PRODUCT(G19/16),0)</f>
        <v>62</v>
      </c>
      <c r="I19" s="8">
        <f>ROUND(PRODUCT(G19/COUNT(F4:F19)),0)</f>
        <v>71</v>
      </c>
      <c r="J19" s="37">
        <v>0.18541666666666667</v>
      </c>
      <c r="K19" s="18">
        <f t="shared" si="5"/>
        <v>2.9027777777777781</v>
      </c>
      <c r="L19" s="41">
        <f t="shared" si="0"/>
        <v>11.9</v>
      </c>
      <c r="M19" s="32">
        <v>48</v>
      </c>
      <c r="N19" s="37">
        <v>0.25</v>
      </c>
      <c r="O19" s="18">
        <f t="shared" si="6"/>
        <v>4.1465277777777771</v>
      </c>
      <c r="P19" s="41">
        <f t="shared" si="1"/>
        <v>8.8000000000000007</v>
      </c>
      <c r="Q19" s="18">
        <f t="shared" si="2"/>
        <v>6.4583333333333326E-2</v>
      </c>
      <c r="R19" s="18">
        <f t="shared" si="9"/>
        <v>1.2437500000000004</v>
      </c>
      <c r="S19" s="8">
        <v>3</v>
      </c>
      <c r="T19" s="26">
        <v>13</v>
      </c>
      <c r="U19" s="15">
        <f t="shared" si="10"/>
        <v>10</v>
      </c>
      <c r="V19" s="26">
        <v>733</v>
      </c>
      <c r="W19" s="15">
        <f t="shared" si="7"/>
        <v>6503</v>
      </c>
      <c r="X19" s="8">
        <f t="shared" si="3"/>
        <v>723</v>
      </c>
      <c r="Y19" s="15">
        <f t="shared" si="11"/>
        <v>6640</v>
      </c>
      <c r="Z19" s="15">
        <f t="shared" si="4"/>
        <v>10</v>
      </c>
      <c r="AA19" s="26">
        <v>345</v>
      </c>
      <c r="AB19" s="8"/>
      <c r="AC19" s="27"/>
      <c r="AD19" s="26"/>
      <c r="AE19" s="27"/>
      <c r="AF19" s="27"/>
      <c r="AG19" s="27"/>
      <c r="AH19" s="16">
        <f t="shared" si="12"/>
        <v>0</v>
      </c>
    </row>
    <row r="20" spans="1:34" ht="13">
      <c r="A20" s="43" t="s">
        <v>40</v>
      </c>
      <c r="B20" s="44">
        <v>44520</v>
      </c>
      <c r="C20" s="45" t="s">
        <v>82</v>
      </c>
      <c r="D20" s="43" t="s">
        <v>83</v>
      </c>
      <c r="E20" s="46" t="s">
        <v>84</v>
      </c>
      <c r="F20" s="45">
        <v>65</v>
      </c>
      <c r="G20" s="14">
        <f t="shared" si="8"/>
        <v>1055</v>
      </c>
      <c r="H20" s="8">
        <f>ROUND(PRODUCT(G20/17),0)</f>
        <v>62</v>
      </c>
      <c r="I20" s="8">
        <f>ROUND(PRODUCT(G20/COUNT(F4:F20)),0)</f>
        <v>70</v>
      </c>
      <c r="J20" s="37">
        <v>0.20347222222222219</v>
      </c>
      <c r="K20" s="18">
        <f t="shared" si="5"/>
        <v>3.1062500000000002</v>
      </c>
      <c r="L20" s="41">
        <f t="shared" si="0"/>
        <v>13.3</v>
      </c>
      <c r="M20" s="32">
        <v>61</v>
      </c>
      <c r="N20" s="37">
        <v>0.27083333333333331</v>
      </c>
      <c r="O20" s="18">
        <f t="shared" si="6"/>
        <v>4.4173611111111102</v>
      </c>
      <c r="P20" s="41">
        <f t="shared" si="1"/>
        <v>10</v>
      </c>
      <c r="Q20" s="18">
        <f t="shared" si="2"/>
        <v>6.7361111111111122E-2</v>
      </c>
      <c r="R20" s="18">
        <f t="shared" si="9"/>
        <v>1.3111111111111116</v>
      </c>
      <c r="S20" s="26">
        <v>13</v>
      </c>
      <c r="T20" s="26">
        <v>3</v>
      </c>
      <c r="U20" s="15">
        <f t="shared" si="10"/>
        <v>-10</v>
      </c>
      <c r="V20" s="26">
        <v>760</v>
      </c>
      <c r="W20" s="15">
        <f t="shared" si="7"/>
        <v>7263</v>
      </c>
      <c r="X20" s="8">
        <f t="shared" si="3"/>
        <v>770</v>
      </c>
      <c r="Y20" s="15">
        <f t="shared" si="11"/>
        <v>7410</v>
      </c>
      <c r="Z20" s="15">
        <f t="shared" si="4"/>
        <v>-10</v>
      </c>
      <c r="AA20" s="26">
        <v>420</v>
      </c>
      <c r="AB20" s="8"/>
      <c r="AC20" s="27"/>
      <c r="AD20" s="26"/>
      <c r="AE20" s="27"/>
      <c r="AF20" s="27"/>
      <c r="AG20" s="27"/>
      <c r="AH20" s="16">
        <f t="shared" si="12"/>
        <v>0</v>
      </c>
    </row>
    <row r="21" spans="1:34" ht="13">
      <c r="A21" s="43" t="s">
        <v>41</v>
      </c>
      <c r="B21" s="44">
        <v>44521</v>
      </c>
      <c r="C21" s="45" t="s">
        <v>84</v>
      </c>
      <c r="D21" s="43"/>
      <c r="E21" s="46" t="s">
        <v>85</v>
      </c>
      <c r="F21" s="45">
        <v>45</v>
      </c>
      <c r="G21" s="14">
        <f t="shared" si="8"/>
        <v>1100</v>
      </c>
      <c r="H21" s="8">
        <f>ROUND(PRODUCT(G21/18),0)</f>
        <v>61</v>
      </c>
      <c r="I21" s="8">
        <f>ROUND(PRODUCT(G21/COUNT(F4:F21)),0)</f>
        <v>69</v>
      </c>
      <c r="J21" s="37">
        <v>0.15833333333333333</v>
      </c>
      <c r="K21" s="18">
        <f t="shared" si="5"/>
        <v>3.2645833333333334</v>
      </c>
      <c r="L21" s="41">
        <f t="shared" si="0"/>
        <v>11.8</v>
      </c>
      <c r="M21" s="33">
        <v>51</v>
      </c>
      <c r="N21" s="37">
        <v>0.23611111111111113</v>
      </c>
      <c r="O21" s="18">
        <f t="shared" si="6"/>
        <v>4.6534722222222209</v>
      </c>
      <c r="P21" s="41">
        <f t="shared" si="1"/>
        <v>7.9</v>
      </c>
      <c r="Q21" s="18">
        <f t="shared" si="2"/>
        <v>7.7777777777777807E-2</v>
      </c>
      <c r="R21" s="18">
        <f t="shared" si="9"/>
        <v>1.3888888888888893</v>
      </c>
      <c r="S21" s="26">
        <v>3</v>
      </c>
      <c r="T21" s="26">
        <v>3</v>
      </c>
      <c r="U21" s="15">
        <f t="shared" si="10"/>
        <v>0</v>
      </c>
      <c r="V21" s="26">
        <v>700</v>
      </c>
      <c r="W21" s="15">
        <f t="shared" si="7"/>
        <v>7963</v>
      </c>
      <c r="X21" s="8">
        <f t="shared" si="3"/>
        <v>700</v>
      </c>
      <c r="Y21" s="15">
        <f t="shared" si="11"/>
        <v>8110</v>
      </c>
      <c r="Z21" s="15">
        <f t="shared" si="4"/>
        <v>0</v>
      </c>
      <c r="AA21" s="26">
        <v>270</v>
      </c>
      <c r="AB21" s="26"/>
      <c r="AC21" s="27"/>
      <c r="AD21" s="26"/>
      <c r="AE21" s="27"/>
      <c r="AF21" s="27"/>
      <c r="AG21" s="27"/>
      <c r="AH21" s="16">
        <f t="shared" si="12"/>
        <v>0</v>
      </c>
    </row>
    <row r="22" spans="1:34" ht="13">
      <c r="A22" s="43" t="s">
        <v>42</v>
      </c>
      <c r="B22" s="44">
        <v>44522</v>
      </c>
      <c r="C22" s="45" t="s">
        <v>85</v>
      </c>
      <c r="D22" s="43" t="s">
        <v>86</v>
      </c>
      <c r="E22" s="46" t="s">
        <v>87</v>
      </c>
      <c r="F22" s="45">
        <v>53</v>
      </c>
      <c r="G22" s="14">
        <f t="shared" si="8"/>
        <v>1153</v>
      </c>
      <c r="H22" s="8">
        <f>ROUND(PRODUCT(G22/19),0)</f>
        <v>61</v>
      </c>
      <c r="I22" s="8">
        <f>ROUND(PRODUCT(G22/COUNT(F4:F22)),0)</f>
        <v>68</v>
      </c>
      <c r="J22" s="37">
        <v>0.15972222222222224</v>
      </c>
      <c r="K22" s="18">
        <f t="shared" si="5"/>
        <v>3.4243055555555557</v>
      </c>
      <c r="L22" s="41">
        <f t="shared" si="0"/>
        <v>13.8</v>
      </c>
      <c r="M22" s="33">
        <v>55</v>
      </c>
      <c r="N22" s="37">
        <v>0.20833333333333334</v>
      </c>
      <c r="O22" s="18">
        <f t="shared" si="6"/>
        <v>4.8618055555555539</v>
      </c>
      <c r="P22" s="41">
        <f t="shared" si="1"/>
        <v>10.6</v>
      </c>
      <c r="Q22" s="18">
        <f t="shared" si="2"/>
        <v>4.8611111111111105E-2</v>
      </c>
      <c r="R22" s="18">
        <f t="shared" si="9"/>
        <v>1.4375000000000004</v>
      </c>
      <c r="S22" s="26">
        <v>3</v>
      </c>
      <c r="T22" s="26">
        <v>3</v>
      </c>
      <c r="U22" s="15">
        <f t="shared" si="10"/>
        <v>0</v>
      </c>
      <c r="V22" s="26">
        <v>500</v>
      </c>
      <c r="W22" s="15">
        <f t="shared" si="7"/>
        <v>8463</v>
      </c>
      <c r="X22" s="8">
        <f t="shared" si="3"/>
        <v>500</v>
      </c>
      <c r="Y22" s="15">
        <f t="shared" si="11"/>
        <v>8610</v>
      </c>
      <c r="Z22" s="15">
        <f t="shared" si="4"/>
        <v>0</v>
      </c>
      <c r="AA22" s="26">
        <v>340</v>
      </c>
      <c r="AB22" s="26"/>
      <c r="AC22" s="27"/>
      <c r="AD22" s="26"/>
      <c r="AE22" s="27"/>
      <c r="AF22" s="27"/>
      <c r="AG22" s="27"/>
      <c r="AH22" s="16">
        <f t="shared" si="12"/>
        <v>0</v>
      </c>
    </row>
    <row r="23" spans="1:34" ht="13">
      <c r="A23" s="43" t="s">
        <v>45</v>
      </c>
      <c r="B23" s="44">
        <v>44523</v>
      </c>
      <c r="C23" s="45" t="s">
        <v>87</v>
      </c>
      <c r="D23" s="43" t="s">
        <v>93</v>
      </c>
      <c r="E23" s="46" t="s">
        <v>88</v>
      </c>
      <c r="F23" s="45">
        <v>60</v>
      </c>
      <c r="G23" s="14">
        <f t="shared" si="8"/>
        <v>1213</v>
      </c>
      <c r="H23" s="8">
        <f>ROUND(PRODUCT(G23/20),0)</f>
        <v>61</v>
      </c>
      <c r="I23" s="8">
        <f>ROUND(PRODUCT(G23/COUNT(F4:F23)),0)</f>
        <v>67</v>
      </c>
      <c r="J23" s="37">
        <v>0.17777777777777778</v>
      </c>
      <c r="K23" s="18">
        <f t="shared" si="5"/>
        <v>3.6020833333333333</v>
      </c>
      <c r="L23" s="41">
        <f t="shared" si="0"/>
        <v>14.1</v>
      </c>
      <c r="M23" s="33">
        <v>55</v>
      </c>
      <c r="N23" s="37">
        <v>0.33333333333333331</v>
      </c>
      <c r="O23" s="18">
        <f t="shared" si="6"/>
        <v>5.195138888888887</v>
      </c>
      <c r="P23" s="41">
        <f t="shared" si="1"/>
        <v>7.5</v>
      </c>
      <c r="Q23" s="18">
        <f t="shared" si="2"/>
        <v>0.15555555555555553</v>
      </c>
      <c r="R23" s="18">
        <f t="shared" si="9"/>
        <v>1.5930555555555559</v>
      </c>
      <c r="S23" s="26">
        <v>3</v>
      </c>
      <c r="T23" s="26">
        <v>3</v>
      </c>
      <c r="U23" s="15">
        <f t="shared" si="10"/>
        <v>0</v>
      </c>
      <c r="V23" s="26">
        <v>745</v>
      </c>
      <c r="W23" s="15">
        <f t="shared" si="7"/>
        <v>9208</v>
      </c>
      <c r="X23" s="8">
        <f t="shared" si="3"/>
        <v>745</v>
      </c>
      <c r="Y23" s="15">
        <f t="shared" si="11"/>
        <v>9355</v>
      </c>
      <c r="Z23" s="15">
        <f t="shared" si="4"/>
        <v>0</v>
      </c>
      <c r="AA23" s="26">
        <v>115</v>
      </c>
      <c r="AB23" s="26"/>
      <c r="AC23" s="27"/>
      <c r="AD23" s="26"/>
      <c r="AE23" s="27"/>
      <c r="AF23" s="27"/>
      <c r="AG23" s="27"/>
      <c r="AH23" s="16">
        <f t="shared" si="12"/>
        <v>0</v>
      </c>
    </row>
    <row r="24" spans="1:34" ht="13">
      <c r="A24" s="43" t="s">
        <v>46</v>
      </c>
      <c r="B24" s="44">
        <v>44524</v>
      </c>
      <c r="C24" s="45"/>
      <c r="D24" s="43" t="s">
        <v>88</v>
      </c>
      <c r="E24" s="46"/>
      <c r="F24" s="45"/>
      <c r="G24" s="14">
        <f t="shared" si="8"/>
        <v>1213</v>
      </c>
      <c r="H24" s="8">
        <f>ROUND(PRODUCT(G24/21),0)</f>
        <v>58</v>
      </c>
      <c r="I24" s="8">
        <f>ROUND(PRODUCT(G24/COUNT(F4:F24)),0)</f>
        <v>67</v>
      </c>
      <c r="J24" s="37"/>
      <c r="K24" s="18">
        <f t="shared" si="5"/>
        <v>3.6020833333333333</v>
      </c>
      <c r="L24" s="41">
        <f t="shared" si="0"/>
        <v>0</v>
      </c>
      <c r="M24" s="33"/>
      <c r="N24" s="37"/>
      <c r="O24" s="18">
        <f t="shared" si="6"/>
        <v>5.195138888888887</v>
      </c>
      <c r="P24" s="41">
        <f t="shared" si="1"/>
        <v>0</v>
      </c>
      <c r="Q24" s="18">
        <f t="shared" si="2"/>
        <v>0</v>
      </c>
      <c r="R24" s="18">
        <f t="shared" si="9"/>
        <v>1.5930555555555559</v>
      </c>
      <c r="S24" s="26"/>
      <c r="T24" s="26"/>
      <c r="U24" s="15">
        <f t="shared" si="10"/>
        <v>0</v>
      </c>
      <c r="V24" s="26"/>
      <c r="W24" s="15">
        <f t="shared" si="7"/>
        <v>9208</v>
      </c>
      <c r="X24" s="8">
        <f t="shared" si="3"/>
        <v>0</v>
      </c>
      <c r="Y24" s="15">
        <f t="shared" si="11"/>
        <v>9355</v>
      </c>
      <c r="Z24" s="15">
        <f t="shared" si="4"/>
        <v>0</v>
      </c>
      <c r="AA24" s="26"/>
      <c r="AB24" s="26"/>
      <c r="AC24" s="27"/>
      <c r="AD24" s="26"/>
      <c r="AE24" s="27"/>
      <c r="AF24" s="27"/>
      <c r="AG24" s="27"/>
      <c r="AH24" s="16">
        <f t="shared" si="12"/>
        <v>0</v>
      </c>
    </row>
    <row r="25" spans="1:34" ht="13">
      <c r="A25" s="43" t="s">
        <v>47</v>
      </c>
      <c r="B25" s="44">
        <v>44525</v>
      </c>
      <c r="C25" s="45" t="s">
        <v>88</v>
      </c>
      <c r="D25" s="43"/>
      <c r="E25" s="46" t="s">
        <v>89</v>
      </c>
      <c r="F25" s="45">
        <v>38</v>
      </c>
      <c r="G25" s="14">
        <f t="shared" si="8"/>
        <v>1251</v>
      </c>
      <c r="H25" s="8">
        <f>ROUND(PRODUCT(G25/22),0)</f>
        <v>57</v>
      </c>
      <c r="I25" s="8">
        <f>ROUND(PRODUCT(G25/COUNT(F4:F25)),0)</f>
        <v>66</v>
      </c>
      <c r="J25" s="37">
        <v>0.11458333333333333</v>
      </c>
      <c r="K25" s="18">
        <f t="shared" si="5"/>
        <v>3.7166666666666668</v>
      </c>
      <c r="L25" s="41">
        <f t="shared" si="0"/>
        <v>13.8</v>
      </c>
      <c r="M25" s="33">
        <v>55</v>
      </c>
      <c r="N25" s="37">
        <v>0.15625</v>
      </c>
      <c r="O25" s="18">
        <f t="shared" si="6"/>
        <v>5.351388888888887</v>
      </c>
      <c r="P25" s="41">
        <f t="shared" si="1"/>
        <v>10.1</v>
      </c>
      <c r="Q25" s="18">
        <f t="shared" si="2"/>
        <v>4.1666666666666671E-2</v>
      </c>
      <c r="R25" s="18">
        <f t="shared" si="9"/>
        <v>1.6347222222222226</v>
      </c>
      <c r="S25" s="26">
        <v>3</v>
      </c>
      <c r="T25" s="26">
        <v>3</v>
      </c>
      <c r="U25" s="15">
        <f t="shared" si="10"/>
        <v>0</v>
      </c>
      <c r="V25" s="26">
        <v>333</v>
      </c>
      <c r="W25" s="15">
        <f t="shared" si="7"/>
        <v>9541</v>
      </c>
      <c r="X25" s="8">
        <f t="shared" si="3"/>
        <v>333</v>
      </c>
      <c r="Y25" s="15">
        <f t="shared" si="11"/>
        <v>9688</v>
      </c>
      <c r="Z25" s="15">
        <f t="shared" si="4"/>
        <v>0</v>
      </c>
      <c r="AA25" s="26">
        <v>115</v>
      </c>
      <c r="AB25" s="26"/>
      <c r="AC25" s="27"/>
      <c r="AD25" s="26"/>
      <c r="AE25" s="27"/>
      <c r="AF25" s="27"/>
      <c r="AG25" s="27"/>
      <c r="AH25" s="16">
        <f t="shared" si="12"/>
        <v>0</v>
      </c>
    </row>
    <row r="26" spans="1:34" ht="13">
      <c r="A26" s="43" t="s">
        <v>48</v>
      </c>
      <c r="B26" s="44">
        <v>44526</v>
      </c>
      <c r="C26" s="45" t="s">
        <v>89</v>
      </c>
      <c r="D26" s="43"/>
      <c r="E26" s="46" t="s">
        <v>90</v>
      </c>
      <c r="F26" s="45">
        <v>12</v>
      </c>
      <c r="G26" s="14">
        <f t="shared" si="8"/>
        <v>1263</v>
      </c>
      <c r="H26" s="8">
        <f>ROUND(PRODUCT(G26/24),0)</f>
        <v>53</v>
      </c>
      <c r="I26" s="8">
        <f>ROUND(PRODUCT(G26/COUNT(F4:F26)),0)</f>
        <v>63</v>
      </c>
      <c r="J26" s="37">
        <v>3.4722222222222224E-2</v>
      </c>
      <c r="K26" s="18">
        <f t="shared" si="5"/>
        <v>3.7513888888888891</v>
      </c>
      <c r="L26" s="41">
        <f t="shared" si="0"/>
        <v>14.4</v>
      </c>
      <c r="M26" s="33">
        <v>44</v>
      </c>
      <c r="N26" s="37">
        <v>4.1666666666666664E-2</v>
      </c>
      <c r="O26" s="18">
        <f t="shared" si="6"/>
        <v>5.3930555555555539</v>
      </c>
      <c r="P26" s="41">
        <f t="shared" si="1"/>
        <v>12</v>
      </c>
      <c r="Q26" s="18">
        <f t="shared" si="2"/>
        <v>6.9444444444444406E-3</v>
      </c>
      <c r="R26" s="18">
        <f t="shared" si="9"/>
        <v>1.6416666666666671</v>
      </c>
      <c r="S26" s="26">
        <v>3</v>
      </c>
      <c r="T26" s="26">
        <v>3</v>
      </c>
      <c r="U26" s="15">
        <f t="shared" si="10"/>
        <v>0</v>
      </c>
      <c r="V26" s="26">
        <v>150</v>
      </c>
      <c r="W26" s="15">
        <f t="shared" si="7"/>
        <v>9691</v>
      </c>
      <c r="X26" s="8">
        <f t="shared" si="3"/>
        <v>150</v>
      </c>
      <c r="Y26" s="15">
        <f t="shared" si="11"/>
        <v>9838</v>
      </c>
      <c r="Z26" s="15">
        <f t="shared" si="4"/>
        <v>0</v>
      </c>
      <c r="AA26" s="26">
        <v>100</v>
      </c>
      <c r="AB26" s="26"/>
      <c r="AC26" s="27"/>
      <c r="AD26" s="26"/>
      <c r="AE26" s="27"/>
      <c r="AF26" s="27"/>
      <c r="AG26" s="27"/>
      <c r="AH26" s="16">
        <f t="shared" si="12"/>
        <v>0</v>
      </c>
    </row>
    <row r="27" spans="1:34" ht="13">
      <c r="A27" s="28" t="s">
        <v>6</v>
      </c>
      <c r="B27" s="54"/>
      <c r="C27" s="55"/>
      <c r="D27" s="55"/>
      <c r="E27" s="56"/>
      <c r="F27" s="29">
        <f>SUM(F4:F26)</f>
        <v>1263</v>
      </c>
      <c r="G27" s="19">
        <f>SUM(G26)</f>
        <v>1263</v>
      </c>
      <c r="H27" s="19">
        <f>SUM(H26)</f>
        <v>53</v>
      </c>
      <c r="I27" s="19">
        <f>SUM(I26)</f>
        <v>63</v>
      </c>
      <c r="J27" s="20">
        <f>SUM(J4:J26)</f>
        <v>3.7513888888888891</v>
      </c>
      <c r="K27" s="35">
        <f>F27/SUM(HOUR(J27)+(ROUNDDOWN(J27,0)*24),PRODUCT(MINUTE(J27)/60))</f>
        <v>14.028137726767865</v>
      </c>
      <c r="L27" s="40">
        <f>SUM(L4:L26)/COUNT(F4:F26)</f>
        <v>13.845000000000002</v>
      </c>
      <c r="M27" s="42">
        <f>PRODUCT(SUM(M4:M26),1/COUNT(M4:M26))</f>
        <v>49.25</v>
      </c>
      <c r="N27" s="20">
        <f>SUM(N4:N26)</f>
        <v>5.3930555555555539</v>
      </c>
      <c r="O27" s="35">
        <f>F27/SUM(HOUR(N27)+(ROUNDDOWN(N27,0)*24),PRODUCT(MINUTE(N27)/60))</f>
        <v>9.7579191346896721</v>
      </c>
      <c r="P27" s="40">
        <f>SUM(P4:P26)/COUNT(F4:F26)</f>
        <v>9.74</v>
      </c>
      <c r="Q27" s="20">
        <f>SUM(Q4:Q26)</f>
        <v>1.6416666666666671</v>
      </c>
      <c r="R27" s="19"/>
      <c r="S27" s="19">
        <f>ROUND(SUM(S4:S26)/COUNT(S4:S26),0)</f>
        <v>19</v>
      </c>
      <c r="T27" s="19">
        <f>ROUND(SUM(T4:T26)/COUNT(T4:T26),0)</f>
        <v>12</v>
      </c>
      <c r="U27" s="21">
        <f>SUM(U4:U26)</f>
        <v>-147</v>
      </c>
      <c r="V27" s="19">
        <f>ROUND(SUM(V4:V26)/COUNT(V4:V26),0)</f>
        <v>485</v>
      </c>
      <c r="W27" s="19">
        <f>SUM(W26)</f>
        <v>9691</v>
      </c>
      <c r="X27" s="19">
        <f>ROUND(SUM(X4:X26)/COUNT(V4:V26),0)</f>
        <v>492</v>
      </c>
      <c r="Y27" s="19">
        <f>SUM(Y26)</f>
        <v>9838</v>
      </c>
      <c r="Z27" s="21">
        <f>SUM(Z4:Z26)</f>
        <v>-147</v>
      </c>
      <c r="AA27" s="19">
        <f>ROUND(SUM(AA4:AA26)/COUNT(AA4:AA26),0)</f>
        <v>207</v>
      </c>
      <c r="AB27" s="34" t="e">
        <f t="shared" ref="AB27:AG27" si="13">SUM(AB4:AB26)/COUNT(AB4:AB26)</f>
        <v>#DIV/0!</v>
      </c>
      <c r="AC27" s="34" t="e">
        <f t="shared" si="13"/>
        <v>#DIV/0!</v>
      </c>
      <c r="AD27" s="34" t="e">
        <f t="shared" si="13"/>
        <v>#DIV/0!</v>
      </c>
      <c r="AE27" s="34" t="e">
        <f t="shared" si="13"/>
        <v>#DIV/0!</v>
      </c>
      <c r="AF27" s="34" t="e">
        <f t="shared" si="13"/>
        <v>#DIV/0!</v>
      </c>
      <c r="AG27" s="34" t="e">
        <f t="shared" si="13"/>
        <v>#DIV/0!</v>
      </c>
      <c r="AH27" s="34" t="e">
        <f>SUM(AH4:AH26)/COUNT(AG4:AG26)</f>
        <v>#DIV/0!</v>
      </c>
    </row>
    <row r="28" spans="1:34" ht="13">
      <c r="Q28" s="8"/>
      <c r="R28" s="8"/>
      <c r="S28" s="8"/>
      <c r="W28" s="15"/>
      <c r="Y28" s="15"/>
    </row>
    <row r="29" spans="1:34" ht="13">
      <c r="O29" s="8"/>
      <c r="P29" s="8"/>
      <c r="Q29" s="8"/>
      <c r="R29" s="30"/>
      <c r="S29" s="8"/>
      <c r="T29" s="8"/>
      <c r="U29" s="8"/>
      <c r="V29" s="8"/>
      <c r="W29" s="15"/>
      <c r="X29" s="8"/>
      <c r="Y29" s="15"/>
      <c r="Z29" s="8"/>
      <c r="AA29" s="8"/>
    </row>
    <row r="30" spans="1:34" ht="13">
      <c r="N30" s="39"/>
      <c r="O30" s="8"/>
      <c r="P30" s="8"/>
      <c r="Q30" s="38"/>
      <c r="R30" s="38"/>
      <c r="S30" s="8"/>
      <c r="T30" s="8"/>
      <c r="U30" s="8"/>
      <c r="V30" s="8"/>
      <c r="W30" s="8"/>
      <c r="X30" s="8"/>
      <c r="Y30" s="8"/>
      <c r="Z30" s="8"/>
      <c r="AA30" s="8"/>
    </row>
    <row r="31" spans="1:34" ht="13">
      <c r="O31" s="8"/>
      <c r="P31" s="8"/>
      <c r="Q31" s="38"/>
      <c r="R31" s="38"/>
      <c r="S31" s="8"/>
      <c r="T31" s="8"/>
      <c r="U31" s="8"/>
      <c r="V31" s="8"/>
      <c r="W31" s="8"/>
      <c r="X31" s="8"/>
      <c r="Y31" s="8"/>
      <c r="Z31" s="8"/>
      <c r="AA31" s="8"/>
    </row>
    <row r="32" spans="1:34" ht="13">
      <c r="O32" s="8"/>
      <c r="P32" s="8"/>
      <c r="Q32" s="8"/>
      <c r="R32" s="38"/>
      <c r="S32" s="8"/>
      <c r="T32" s="8"/>
      <c r="U32" s="8"/>
      <c r="V32" s="8"/>
      <c r="W32" s="8"/>
      <c r="X32" s="8"/>
      <c r="Y32" s="8"/>
      <c r="Z32" s="8"/>
      <c r="AA32" s="8"/>
    </row>
    <row r="33" spans="15:27"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</sheetData>
  <mergeCells count="4">
    <mergeCell ref="A1:F1"/>
    <mergeCell ref="A2:F2"/>
    <mergeCell ref="G1:AH1"/>
    <mergeCell ref="B27:E27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F5584-699B-41C4-B663-AEE01BFEABF7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20403-D14D-486E-9443-7D80C40CFD07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2021-11-29T10:48:11Z</cp:lastPrinted>
  <dcterms:created xsi:type="dcterms:W3CDTF">2001-02-09T16:25:48Z</dcterms:created>
  <dcterms:modified xsi:type="dcterms:W3CDTF">2025-11-12T20:21:42Z</dcterms:modified>
</cp:coreProperties>
</file>