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480E760A-2300-4B35-9AEC-0CA246575D56}" xr6:coauthVersionLast="47" xr6:coauthVersionMax="47" xr10:uidLastSave="{00000000-0000-0000-0000-000000000000}"/>
  <bookViews>
    <workbookView xWindow="-110" yWindow="-110" windowWidth="19420" windowHeight="10420" xr2:uid="{0B8A3936-6A9E-4470-A3F6-E34600BE85A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1" i="1" l="1"/>
  <c r="X41" i="1"/>
  <c r="Z41" i="1"/>
  <c r="U41" i="1"/>
  <c r="Q41" i="1"/>
  <c r="P41" i="1"/>
  <c r="L41" i="1"/>
  <c r="AH57" i="1"/>
  <c r="X57" i="1"/>
  <c r="Z57" i="1"/>
  <c r="U57" i="1"/>
  <c r="Q57" i="1"/>
  <c r="P57" i="1"/>
  <c r="L57" i="1"/>
  <c r="AH56" i="1"/>
  <c r="X56" i="1"/>
  <c r="Z56" i="1"/>
  <c r="U56" i="1"/>
  <c r="Q56" i="1"/>
  <c r="P56" i="1"/>
  <c r="L56" i="1"/>
  <c r="AH55" i="1"/>
  <c r="X55" i="1"/>
  <c r="Z55" i="1"/>
  <c r="U55" i="1"/>
  <c r="Q55" i="1"/>
  <c r="P55" i="1"/>
  <c r="L55" i="1"/>
  <c r="AH54" i="1"/>
  <c r="X54" i="1"/>
  <c r="Z54" i="1"/>
  <c r="U54" i="1"/>
  <c r="Q54" i="1"/>
  <c r="P54" i="1"/>
  <c r="L54" i="1"/>
  <c r="AH53" i="1"/>
  <c r="X53" i="1"/>
  <c r="Z53" i="1"/>
  <c r="U53" i="1"/>
  <c r="Q53" i="1"/>
  <c r="P53" i="1"/>
  <c r="L53" i="1"/>
  <c r="AH52" i="1"/>
  <c r="X52" i="1"/>
  <c r="Z52" i="1"/>
  <c r="U52" i="1"/>
  <c r="Q52" i="1"/>
  <c r="P52" i="1"/>
  <c r="L52" i="1"/>
  <c r="AH51" i="1"/>
  <c r="X51" i="1"/>
  <c r="Z51" i="1"/>
  <c r="U51" i="1"/>
  <c r="Q51" i="1"/>
  <c r="P51" i="1"/>
  <c r="L51" i="1"/>
  <c r="AH50" i="1"/>
  <c r="X50" i="1"/>
  <c r="Z50" i="1"/>
  <c r="U50" i="1"/>
  <c r="Q50" i="1"/>
  <c r="P50" i="1"/>
  <c r="L50" i="1"/>
  <c r="AH49" i="1"/>
  <c r="X49" i="1"/>
  <c r="Z49" i="1"/>
  <c r="U49" i="1"/>
  <c r="Q49" i="1"/>
  <c r="P49" i="1"/>
  <c r="L49" i="1"/>
  <c r="AH48" i="1"/>
  <c r="X48" i="1"/>
  <c r="Z48" i="1"/>
  <c r="U48" i="1"/>
  <c r="Q48" i="1"/>
  <c r="P48" i="1"/>
  <c r="L48" i="1"/>
  <c r="AH47" i="1"/>
  <c r="X47" i="1"/>
  <c r="Z47" i="1"/>
  <c r="U47" i="1"/>
  <c r="Q47" i="1"/>
  <c r="P47" i="1"/>
  <c r="L47" i="1"/>
  <c r="AH46" i="1"/>
  <c r="X46" i="1"/>
  <c r="Z46" i="1"/>
  <c r="U46" i="1"/>
  <c r="Q46" i="1"/>
  <c r="P46" i="1"/>
  <c r="L46" i="1"/>
  <c r="AH45" i="1"/>
  <c r="X45" i="1"/>
  <c r="Z45" i="1"/>
  <c r="U45" i="1"/>
  <c r="Q45" i="1"/>
  <c r="P45" i="1"/>
  <c r="L45" i="1"/>
  <c r="AH44" i="1"/>
  <c r="X44" i="1"/>
  <c r="Z44" i="1"/>
  <c r="U44" i="1"/>
  <c r="Q44" i="1"/>
  <c r="P44" i="1"/>
  <c r="L44" i="1"/>
  <c r="AH43" i="1"/>
  <c r="X43" i="1"/>
  <c r="Z43" i="1"/>
  <c r="U43" i="1"/>
  <c r="Q43" i="1"/>
  <c r="P43" i="1"/>
  <c r="L43" i="1"/>
  <c r="AH42" i="1"/>
  <c r="X42" i="1"/>
  <c r="Z42" i="1"/>
  <c r="U42" i="1"/>
  <c r="Q42" i="1"/>
  <c r="P42" i="1"/>
  <c r="L42" i="1"/>
  <c r="G4" i="1"/>
  <c r="H4" i="1"/>
  <c r="K4" i="1"/>
  <c r="L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P4" i="1"/>
  <c r="Q4" i="1"/>
  <c r="R4" i="1"/>
  <c r="U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X4" i="1"/>
  <c r="Y4" i="1"/>
  <c r="AH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L5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/>
  <c r="AH23" i="1"/>
  <c r="L24" i="1"/>
  <c r="P24" i="1"/>
  <c r="Q24" i="1"/>
  <c r="U24" i="1"/>
  <c r="X24" i="1"/>
  <c r="Z24" i="1"/>
  <c r="AH24" i="1"/>
  <c r="L25" i="1"/>
  <c r="P25" i="1"/>
  <c r="Q25" i="1"/>
  <c r="U25" i="1"/>
  <c r="X25" i="1"/>
  <c r="Z25" i="1"/>
  <c r="AH25" i="1"/>
  <c r="L26" i="1"/>
  <c r="P26" i="1"/>
  <c r="Q26" i="1"/>
  <c r="U26" i="1"/>
  <c r="X26" i="1"/>
  <c r="Z26" i="1"/>
  <c r="AH26" i="1"/>
  <c r="L27" i="1"/>
  <c r="P27" i="1"/>
  <c r="Q27" i="1"/>
  <c r="U27" i="1"/>
  <c r="X27" i="1"/>
  <c r="Z27" i="1"/>
  <c r="AH27" i="1"/>
  <c r="L28" i="1"/>
  <c r="P28" i="1"/>
  <c r="Q28" i="1"/>
  <c r="U28" i="1"/>
  <c r="X28" i="1"/>
  <c r="Z28" i="1"/>
  <c r="AH28" i="1"/>
  <c r="L29" i="1"/>
  <c r="P29" i="1"/>
  <c r="Q29" i="1"/>
  <c r="U29" i="1"/>
  <c r="X29" i="1"/>
  <c r="Z29" i="1"/>
  <c r="AH29" i="1"/>
  <c r="L30" i="1"/>
  <c r="P30" i="1"/>
  <c r="Q30" i="1"/>
  <c r="U30" i="1"/>
  <c r="X30" i="1"/>
  <c r="Z30" i="1"/>
  <c r="AH30" i="1"/>
  <c r="L31" i="1"/>
  <c r="P31" i="1"/>
  <c r="Q31" i="1"/>
  <c r="U31" i="1"/>
  <c r="X31" i="1"/>
  <c r="Z31" i="1"/>
  <c r="AH31" i="1"/>
  <c r="L32" i="1"/>
  <c r="P32" i="1"/>
  <c r="Q32" i="1"/>
  <c r="U32" i="1"/>
  <c r="X32" i="1"/>
  <c r="Z32" i="1"/>
  <c r="AH32" i="1"/>
  <c r="L33" i="1"/>
  <c r="P33" i="1"/>
  <c r="Q33" i="1"/>
  <c r="U33" i="1"/>
  <c r="X33" i="1"/>
  <c r="Z33" i="1"/>
  <c r="AH33" i="1"/>
  <c r="L34" i="1"/>
  <c r="P34" i="1"/>
  <c r="Q34" i="1"/>
  <c r="U34" i="1"/>
  <c r="X34" i="1"/>
  <c r="Z34" i="1"/>
  <c r="AH34" i="1"/>
  <c r="L35" i="1"/>
  <c r="P35" i="1"/>
  <c r="Q35" i="1"/>
  <c r="U35" i="1"/>
  <c r="X35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Z35" i="1"/>
  <c r="Z59" i="1"/>
  <c r="AH35" i="1"/>
  <c r="L36" i="1"/>
  <c r="P36" i="1"/>
  <c r="Q36" i="1"/>
  <c r="U36" i="1"/>
  <c r="X36" i="1"/>
  <c r="Z36" i="1"/>
  <c r="AH36" i="1"/>
  <c r="L37" i="1"/>
  <c r="P37" i="1"/>
  <c r="Q37" i="1"/>
  <c r="U37" i="1"/>
  <c r="X37" i="1"/>
  <c r="Z37" i="1"/>
  <c r="AH37" i="1"/>
  <c r="L38" i="1"/>
  <c r="P38" i="1"/>
  <c r="Q38" i="1"/>
  <c r="U38" i="1"/>
  <c r="X38" i="1"/>
  <c r="Z38" i="1"/>
  <c r="AH38" i="1"/>
  <c r="L39" i="1"/>
  <c r="P39" i="1"/>
  <c r="Q39" i="1"/>
  <c r="U39" i="1"/>
  <c r="X39" i="1"/>
  <c r="Z39" i="1"/>
  <c r="AH39" i="1"/>
  <c r="L40" i="1"/>
  <c r="P40" i="1"/>
  <c r="Q40" i="1"/>
  <c r="U40" i="1"/>
  <c r="X40" i="1"/>
  <c r="Z40" i="1"/>
  <c r="AH40" i="1"/>
  <c r="L58" i="1"/>
  <c r="P58" i="1"/>
  <c r="Q58" i="1"/>
  <c r="U58" i="1"/>
  <c r="X58" i="1"/>
  <c r="Z58" i="1"/>
  <c r="AH58" i="1"/>
  <c r="F59" i="1"/>
  <c r="J59" i="1"/>
  <c r="M59" i="1"/>
  <c r="N59" i="1"/>
  <c r="S59" i="1"/>
  <c r="T59" i="1"/>
  <c r="V59" i="1"/>
  <c r="AA59" i="1"/>
  <c r="AB59" i="1"/>
  <c r="AC59" i="1"/>
  <c r="AD59" i="1"/>
  <c r="AE59" i="1"/>
  <c r="AF59" i="1"/>
  <c r="AG59" i="1"/>
  <c r="O58" i="1"/>
  <c r="K58" i="1"/>
  <c r="G5" i="1"/>
  <c r="I5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L59" i="1"/>
  <c r="P59" i="1"/>
  <c r="U59" i="1"/>
  <c r="X59" i="1"/>
  <c r="AH59" i="1"/>
  <c r="Z4" i="1"/>
  <c r="O59" i="1"/>
  <c r="Q59" i="1"/>
  <c r="I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K59" i="1"/>
  <c r="Z21" i="1"/>
  <c r="R58" i="1"/>
  <c r="H5" i="1"/>
  <c r="G6" i="1"/>
  <c r="I6" i="1"/>
  <c r="G7" i="1"/>
  <c r="H6" i="1"/>
  <c r="G8" i="1"/>
  <c r="H7" i="1"/>
  <c r="I7" i="1"/>
  <c r="H8" i="1"/>
  <c r="G9" i="1"/>
  <c r="I8" i="1"/>
  <c r="G10" i="1"/>
  <c r="I9" i="1"/>
  <c r="H9" i="1"/>
  <c r="G11" i="1"/>
  <c r="H10" i="1"/>
  <c r="I10" i="1"/>
  <c r="G12" i="1"/>
  <c r="I11" i="1"/>
  <c r="H11" i="1"/>
  <c r="H12" i="1"/>
  <c r="I12" i="1"/>
  <c r="G13" i="1"/>
  <c r="H13" i="1"/>
  <c r="G14" i="1"/>
  <c r="I13" i="1"/>
  <c r="I14" i="1"/>
  <c r="H14" i="1"/>
  <c r="G15" i="1"/>
  <c r="H15" i="1"/>
  <c r="I15" i="1"/>
  <c r="G16" i="1"/>
  <c r="H16" i="1"/>
  <c r="I16" i="1"/>
  <c r="G17" i="1"/>
  <c r="G18" i="1"/>
  <c r="H17" i="1"/>
  <c r="I17" i="1"/>
  <c r="H18" i="1"/>
  <c r="I18" i="1"/>
  <c r="G19" i="1"/>
  <c r="H19" i="1"/>
  <c r="G20" i="1"/>
  <c r="I19" i="1"/>
  <c r="H20" i="1"/>
  <c r="I20" i="1"/>
  <c r="G21" i="1"/>
  <c r="I21" i="1"/>
  <c r="G22" i="1"/>
  <c r="H21" i="1"/>
  <c r="H22" i="1"/>
  <c r="G23" i="1"/>
  <c r="I22" i="1"/>
  <c r="G24" i="1"/>
  <c r="I23" i="1"/>
  <c r="H23" i="1"/>
  <c r="G25" i="1"/>
  <c r="I24" i="1"/>
  <c r="H24" i="1"/>
  <c r="G26" i="1"/>
  <c r="I25" i="1"/>
  <c r="H25" i="1"/>
  <c r="H26" i="1"/>
  <c r="G27" i="1"/>
  <c r="I26" i="1"/>
  <c r="G28" i="1"/>
  <c r="H27" i="1"/>
  <c r="I27" i="1"/>
  <c r="I28" i="1"/>
  <c r="G29" i="1"/>
  <c r="H28" i="1"/>
  <c r="H29" i="1"/>
  <c r="G30" i="1"/>
  <c r="I29" i="1"/>
  <c r="G31" i="1"/>
  <c r="H30" i="1"/>
  <c r="I30" i="1"/>
  <c r="I31" i="1"/>
  <c r="G32" i="1"/>
  <c r="H31" i="1"/>
  <c r="G33" i="1"/>
  <c r="H32" i="1"/>
  <c r="I32" i="1"/>
  <c r="H33" i="1"/>
  <c r="I33" i="1"/>
  <c r="G34" i="1"/>
  <c r="H34" i="1"/>
  <c r="I34" i="1"/>
  <c r="G35" i="1"/>
  <c r="I35" i="1"/>
  <c r="G36" i="1"/>
  <c r="H35" i="1"/>
  <c r="H36" i="1"/>
  <c r="I36" i="1"/>
  <c r="G37" i="1"/>
  <c r="G38" i="1"/>
  <c r="H37" i="1"/>
  <c r="I37" i="1"/>
  <c r="G39" i="1"/>
  <c r="I38" i="1"/>
  <c r="H38" i="1"/>
  <c r="G40" i="1"/>
  <c r="G41" i="1"/>
  <c r="I39" i="1"/>
  <c r="H39" i="1"/>
  <c r="G42" i="1"/>
  <c r="H41" i="1"/>
  <c r="I41" i="1"/>
  <c r="H40" i="1"/>
  <c r="I40" i="1"/>
  <c r="H42" i="1"/>
  <c r="G43" i="1"/>
  <c r="I42" i="1"/>
  <c r="G44" i="1"/>
  <c r="I43" i="1"/>
  <c r="H43" i="1"/>
  <c r="I44" i="1"/>
  <c r="H44" i="1"/>
  <c r="G45" i="1"/>
  <c r="I45" i="1"/>
  <c r="H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I51" i="1"/>
  <c r="H51" i="1"/>
  <c r="G52" i="1"/>
  <c r="I52" i="1"/>
  <c r="H52" i="1"/>
  <c r="G53" i="1"/>
  <c r="I53" i="1"/>
  <c r="H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H59" i="1"/>
  <c r="I58" i="1"/>
  <c r="I59" i="1"/>
  <c r="G59" i="1"/>
</calcChain>
</file>

<file path=xl/sharedStrings.xml><?xml version="1.0" encoding="utf-8"?>
<sst xmlns="http://schemas.openxmlformats.org/spreadsheetml/2006/main" count="227" uniqueCount="171">
  <si>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</si>
  <si>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</si>
  <si>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</si>
  <si>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</si>
  <si>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</si>
  <si>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</si>
  <si>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</si>
  <si>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</si>
  <si>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</si>
  <si>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</si>
  <si>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</si>
  <si>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</si>
  <si>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</si>
  <si>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</si>
  <si>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</si>
  <si>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</si>
  <si>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</si>
  <si>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</si>
  <si>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</si>
  <si>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</si>
  <si>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</si>
  <si>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</si>
  <si>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</si>
  <si>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</si>
  <si>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</si>
  <si>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</si>
  <si>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</si>
  <si>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</si>
  <si>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</si>
  <si>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</si>
  <si>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</si>
  <si>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</si>
  <si>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</si>
  <si>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</si>
  <si>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</si>
  <si>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</si>
  <si>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</si>
  <si>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</si>
  <si>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</si>
  <si>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</si>
  <si>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</si>
  <si>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</si>
  <si>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</si>
  <si>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</si>
  <si>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</si>
  <si>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</si>
  <si>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</si>
  <si>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</si>
  <si>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</si>
  <si>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</si>
  <si>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</si>
  <si>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</si>
  <si>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</si>
  <si>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</si>
  <si>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</si>
  <si>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</si>
  <si>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</si>
  <si>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</si>
  <si>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</si>
  <si>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</si>
  <si>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</si>
  <si>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</si>
  <si>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</si>
  <si>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</si>
  <si>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</si>
  <si>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</si>
  <si>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</si>
  <si>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</si>
  <si>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</si>
  <si>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</si>
  <si>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</si>
  <si>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</si>
  <si>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</si>
  <si>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</si>
  <si>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</si>
  <si>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Südamerika: Buenos Aires - Tacna + Lima (7.1.-2.3.2023)</t>
  </si>
  <si>
    <r>
      <t>Statistik</t>
    </r>
    <r>
      <rPr>
        <b/>
        <sz val="20"/>
        <rFont val="Arial"/>
        <family val="2"/>
      </rPr>
      <t xml:space="preserve"> Südamerika: Buenos Aires - Tacna + Lima (7.1.-2.3.2023)</t>
    </r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</si>
  <si>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</si>
  <si>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</si>
  <si>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</si>
  <si>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</si>
  <si>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</si>
  <si>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</si>
  <si>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</si>
  <si>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</si>
  <si>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</si>
  <si>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</si>
  <si>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</si>
  <si>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</si>
  <si>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</si>
  <si>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</si>
  <si>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</si>
  <si>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Aeropuerto Ezeiza</t>
  </si>
  <si>
    <t>Buenos Aires</t>
  </si>
  <si>
    <t>Carmelo</t>
  </si>
  <si>
    <t>Nueva Palmira - Dolores</t>
  </si>
  <si>
    <t>Mercedes</t>
  </si>
  <si>
    <t>Paysandú</t>
  </si>
  <si>
    <t>Termas del Dayman</t>
  </si>
  <si>
    <t>Salto</t>
  </si>
  <si>
    <t>Bella Unión</t>
  </si>
  <si>
    <t>Grenze URU/BRA - Uruguaiana - Grenze BRA/ARG</t>
  </si>
  <si>
    <t>Paso de los Libres</t>
  </si>
  <si>
    <t>Tapebicuá</t>
  </si>
  <si>
    <t>La Cruz</t>
  </si>
  <si>
    <t>Alvear - Santo Tomé</t>
  </si>
  <si>
    <t>Tareiri</t>
  </si>
  <si>
    <t>Gobernador Virasoro</t>
  </si>
  <si>
    <t>Puerto Valle</t>
  </si>
  <si>
    <t>Santiago</t>
  </si>
  <si>
    <t>Santa Rosa - San Juan Bautista</t>
  </si>
  <si>
    <t>Villa Florida</t>
  </si>
  <si>
    <t>Quiindy - Carapeguá - Nueva Italia</t>
  </si>
  <si>
    <t>Villeta</t>
  </si>
  <si>
    <t>Asunción</t>
  </si>
  <si>
    <t>Ruta Transchaco KM 183</t>
  </si>
  <si>
    <t>Pozo Colorado</t>
  </si>
  <si>
    <t>Rio Verde</t>
  </si>
  <si>
    <t>Irala Fernández</t>
  </si>
  <si>
    <t>Filadelfia</t>
  </si>
  <si>
    <t>Mariscal Estigarribia</t>
  </si>
  <si>
    <t>La Patria</t>
  </si>
  <si>
    <t>Mayor Infante Rivarola - Grenze PAR/BOL</t>
  </si>
  <si>
    <t>Puerto Sucre +21 km</t>
  </si>
  <si>
    <t>Ibibobo</t>
  </si>
  <si>
    <t>Villa Montes</t>
  </si>
  <si>
    <t>Cañón del Pilcomayo - Pass (990 m)</t>
  </si>
  <si>
    <t>Palos Blancos</t>
  </si>
  <si>
    <t>Pass (1470 m)</t>
  </si>
  <si>
    <t>Entre Rios</t>
  </si>
  <si>
    <t>Pass (2640 m)</t>
  </si>
  <si>
    <t>Tarija</t>
  </si>
  <si>
    <t>Las Carreras</t>
  </si>
  <si>
    <t>Impora</t>
  </si>
  <si>
    <t>Ruta 20 (3570 m)</t>
  </si>
  <si>
    <t>Pass (4250 m) - Mal Paso</t>
  </si>
  <si>
    <t>Tupiza</t>
  </si>
  <si>
    <t>Salo - Pass (3990 m)</t>
  </si>
  <si>
    <t>Pass (4027 m)</t>
  </si>
  <si>
    <t>Pässe (max. 4230 m)</t>
  </si>
  <si>
    <t>Atocha</t>
  </si>
  <si>
    <t>Pass (3950 m)</t>
  </si>
  <si>
    <t>Uyuni</t>
  </si>
  <si>
    <t>Colchani - Salar de Uyuni</t>
  </si>
  <si>
    <t>Colchani</t>
  </si>
  <si>
    <t>Pässe (max. 3915)</t>
  </si>
  <si>
    <t>Rio Mulato</t>
  </si>
  <si>
    <t>Sevaruyo - Quillacas</t>
  </si>
  <si>
    <t>Orinoca</t>
  </si>
  <si>
    <t>Corque</t>
  </si>
  <si>
    <t>Corque/Oruro/Corque</t>
  </si>
  <si>
    <t>Turco</t>
  </si>
  <si>
    <t>Cosapa</t>
  </si>
  <si>
    <t>Pass (4300 m)</t>
  </si>
  <si>
    <t>Tambo Quemado (4360 m)</t>
  </si>
  <si>
    <t>Grenzpass BOL/CHI (4673 m) - Lago Chungará - Pass (4650 m) - Parinacota - Pass (4580 m)</t>
  </si>
  <si>
    <t>Putre</t>
  </si>
  <si>
    <t>Ruta 11 [Panamericana] (max. 3750 m) - Poconchile</t>
  </si>
  <si>
    <t>Arica</t>
  </si>
  <si>
    <t>Grenze CHI/PER</t>
  </si>
  <si>
    <t>Tacna</t>
  </si>
  <si>
    <t>Boca del Río</t>
  </si>
  <si>
    <t>Lima-Miraflores</t>
  </si>
  <si>
    <t>Lima-Centro</t>
  </si>
  <si>
    <t>Santuario Arqueologico de Pachacamac</t>
  </si>
  <si>
    <t>Lima-San-Miguel</t>
  </si>
  <si>
    <r>
      <t xml:space="preserve">Fähre = Grenze ARG/URU </t>
    </r>
    <r>
      <rPr>
        <sz val="10"/>
        <color indexed="8"/>
        <rFont val="Arial"/>
        <family val="2"/>
      </rPr>
      <t>- Colonia del Sacramento</t>
    </r>
  </si>
  <si>
    <r>
      <t xml:space="preserve">Ituzaingó - </t>
    </r>
    <r>
      <rPr>
        <i/>
        <sz val="10"/>
        <color indexed="8"/>
        <rFont val="Arial"/>
        <family val="2"/>
      </rPr>
      <t>Grenzbus ARG/PAR</t>
    </r>
    <r>
      <rPr>
        <sz val="10"/>
        <color indexed="8"/>
        <rFont val="Arial"/>
        <family val="2"/>
      </rPr>
      <t xml:space="preserve"> - Ayolas</t>
    </r>
  </si>
  <si>
    <r>
      <t xml:space="preserve">Ruta Transchaco KM 399 - </t>
    </r>
    <r>
      <rPr>
        <i/>
        <sz val="10"/>
        <color indexed="8"/>
        <rFont val="Arial"/>
        <family val="2"/>
      </rPr>
      <t>PickUp-Autotransport (ca. 60 km)</t>
    </r>
  </si>
  <si>
    <r>
      <t xml:space="preserve">Flughafen Tacna - </t>
    </r>
    <r>
      <rPr>
        <i/>
        <sz val="10"/>
        <color indexed="8"/>
        <rFont val="Arial"/>
        <family val="2"/>
      </rPr>
      <t>Flug</t>
    </r>
    <r>
      <rPr>
        <sz val="10"/>
        <color indexed="8"/>
        <rFont val="Arial"/>
        <family val="2"/>
      </rPr>
      <t xml:space="preserve"> - Flughafen Lima</t>
    </r>
  </si>
  <si>
    <t>San Lorenzo - Tunnel Falda de la Queñua - Pass (3490 m) - El Puente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</si>
</sst>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5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177" fontId="4" fillId="0" borderId="0" xfId="0" applyNumberFormat="1" applyFont="1" applyBorder="1"/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98C4-7E23-4BFB-A07F-BCAD40BA4A49}">
  <sheetPr codeName="Tabelle1"/>
  <dimension ref="A1:AH65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2" t="s">
        <v>75</v>
      </c>
      <c r="B1" s="53"/>
      <c r="C1" s="53"/>
      <c r="D1" s="53"/>
      <c r="E1" s="53"/>
      <c r="F1" s="54"/>
      <c r="G1" s="56" t="s">
        <v>76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8"/>
    </row>
    <row r="2" spans="1:34">
      <c r="A2" s="55"/>
      <c r="B2" s="55"/>
      <c r="C2" s="55"/>
      <c r="D2" s="55"/>
      <c r="E2" s="55"/>
      <c r="F2" s="55"/>
      <c r="G2" s="5"/>
      <c r="H2" s="6"/>
      <c r="I2" s="6"/>
      <c r="J2" s="6"/>
      <c r="K2" s="6"/>
      <c r="L2" s="6"/>
      <c r="M2" s="6"/>
      <c r="N2" s="5"/>
      <c r="O2" s="5"/>
      <c r="P2" s="5"/>
      <c r="Q2" s="5"/>
      <c r="R2" s="10"/>
      <c r="S2" s="5"/>
      <c r="T2" s="5"/>
      <c r="U2" s="7"/>
      <c r="V2" s="7"/>
      <c r="W2" s="7"/>
      <c r="X2" s="8"/>
      <c r="Y2" s="7"/>
      <c r="Z2" s="9"/>
      <c r="AA2" s="9"/>
      <c r="AB2" s="9"/>
      <c r="AC2" s="9"/>
      <c r="AD2" s="9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3" t="s">
        <v>26</v>
      </c>
      <c r="H3" s="23" t="s">
        <v>23</v>
      </c>
      <c r="I3" s="23" t="s">
        <v>24</v>
      </c>
      <c r="J3" s="23" t="s">
        <v>8</v>
      </c>
      <c r="K3" s="24" t="s">
        <v>32</v>
      </c>
      <c r="L3" s="23" t="s">
        <v>44</v>
      </c>
      <c r="M3" s="23" t="s">
        <v>25</v>
      </c>
      <c r="N3" s="23" t="s">
        <v>14</v>
      </c>
      <c r="O3" s="24" t="s">
        <v>33</v>
      </c>
      <c r="P3" s="23" t="s">
        <v>43</v>
      </c>
      <c r="Q3" s="23" t="s">
        <v>15</v>
      </c>
      <c r="R3" s="24" t="s">
        <v>34</v>
      </c>
      <c r="S3" s="23" t="s">
        <v>9</v>
      </c>
      <c r="T3" s="23" t="s">
        <v>10</v>
      </c>
      <c r="U3" s="23" t="s">
        <v>31</v>
      </c>
      <c r="V3" s="23" t="s">
        <v>12</v>
      </c>
      <c r="W3" s="24" t="s">
        <v>27</v>
      </c>
      <c r="X3" s="23" t="s">
        <v>13</v>
      </c>
      <c r="Y3" s="24" t="s">
        <v>29</v>
      </c>
      <c r="Z3" s="24" t="s">
        <v>30</v>
      </c>
      <c r="AA3" s="23" t="s">
        <v>11</v>
      </c>
      <c r="AB3" s="25" t="s">
        <v>18</v>
      </c>
      <c r="AC3" s="25" t="s">
        <v>19</v>
      </c>
      <c r="AD3" s="25" t="s">
        <v>20</v>
      </c>
      <c r="AE3" s="25" t="s">
        <v>21</v>
      </c>
      <c r="AF3" s="26" t="s">
        <v>17</v>
      </c>
      <c r="AG3" s="26" t="s">
        <v>16</v>
      </c>
      <c r="AH3" s="26" t="s">
        <v>28</v>
      </c>
    </row>
    <row r="4" spans="1:34" ht="13">
      <c r="A4" s="44" t="s">
        <v>66</v>
      </c>
      <c r="B4" s="45">
        <v>44933</v>
      </c>
      <c r="C4" s="48" t="s">
        <v>92</v>
      </c>
      <c r="D4" s="49"/>
      <c r="E4" s="50" t="s">
        <v>93</v>
      </c>
      <c r="F4" s="4">
        <v>43</v>
      </c>
      <c r="G4" s="11">
        <f>SUM(F4)</f>
        <v>43</v>
      </c>
      <c r="H4" s="12">
        <f>ROUND(PRODUCT(G4/1),0)</f>
        <v>43</v>
      </c>
      <c r="I4" s="12">
        <f>ROUND(PRODUCT(G4/COUNT(F4:F4)),0)</f>
        <v>43</v>
      </c>
      <c r="J4" s="37">
        <v>0.11527777777777777</v>
      </c>
      <c r="K4" s="18">
        <f>SUM(J4)</f>
        <v>0.11527777777777777</v>
      </c>
      <c r="L4" s="42">
        <f t="shared" ref="L4:L31" si="0">IF(F4=0,0,ROUND(PRODUCT(F4/SUM(HOUR(J4),PRODUCT(MINUTE(J4)/60))),1))</f>
        <v>15.5</v>
      </c>
      <c r="M4" s="32">
        <v>31.7</v>
      </c>
      <c r="N4" s="37">
        <v>0.13541666666666666</v>
      </c>
      <c r="O4" s="18">
        <f>SUM(N4)</f>
        <v>0.13541666666666666</v>
      </c>
      <c r="P4" s="42">
        <f t="shared" ref="P4:P31" si="1">IF(F4=0,0,ROUND(PRODUCT(F4/SUM(HOUR(N4),PRODUCT(MINUTE(N4)/60))),1))</f>
        <v>13.2</v>
      </c>
      <c r="Q4" s="18">
        <f t="shared" ref="Q4:Q31" si="2">SUM(N4,-J4)</f>
        <v>2.0138888888888887E-2</v>
      </c>
      <c r="R4" s="18">
        <f>SUM(Q4)</f>
        <v>2.0138888888888887E-2</v>
      </c>
      <c r="S4" s="12">
        <v>25</v>
      </c>
      <c r="T4" s="9">
        <v>25</v>
      </c>
      <c r="U4" s="13">
        <f>SUM(-S4,T4)</f>
        <v>0</v>
      </c>
      <c r="V4" s="12">
        <v>25</v>
      </c>
      <c r="W4" s="13">
        <f>SUM(V4)</f>
        <v>25</v>
      </c>
      <c r="X4" s="12">
        <f t="shared" ref="X4:X31" si="3">SUM(S4,-T4,V4)</f>
        <v>25</v>
      </c>
      <c r="Y4" s="13">
        <f>SUM(X4)</f>
        <v>25</v>
      </c>
      <c r="Z4" s="13">
        <f t="shared" ref="Z4:Z31" si="4">SUM(V4,-X4)</f>
        <v>0</v>
      </c>
      <c r="AA4" s="12">
        <v>25</v>
      </c>
      <c r="AB4" s="12"/>
      <c r="AC4" s="12"/>
      <c r="AD4" s="12"/>
      <c r="AE4" s="12"/>
      <c r="AF4" s="12"/>
      <c r="AG4" s="12"/>
      <c r="AH4" s="14">
        <f>SUM(AG4,-AF4)</f>
        <v>0</v>
      </c>
    </row>
    <row r="5" spans="1:34" ht="13">
      <c r="A5" s="44" t="s">
        <v>67</v>
      </c>
      <c r="B5" s="45">
        <v>44934</v>
      </c>
      <c r="C5" s="48"/>
      <c r="D5" s="49" t="s">
        <v>93</v>
      </c>
      <c r="E5" s="50"/>
      <c r="F5" s="4">
        <v>21</v>
      </c>
      <c r="G5" s="15">
        <f>SUM(G4,F5)</f>
        <v>64</v>
      </c>
      <c r="H5" s="9">
        <f>ROUND(PRODUCT(G5/2),0)</f>
        <v>32</v>
      </c>
      <c r="I5" s="9">
        <f>ROUND(PRODUCT(G5/COUNT(F4:F5)),0)</f>
        <v>32</v>
      </c>
      <c r="J5" s="38">
        <v>7.2222222222222229E-2</v>
      </c>
      <c r="K5" s="19">
        <f t="shared" ref="K5:K31" si="5">SUM(J5,K4)</f>
        <v>0.1875</v>
      </c>
      <c r="L5" s="42">
        <f t="shared" si="0"/>
        <v>12.1</v>
      </c>
      <c r="M5" s="33">
        <v>26.9</v>
      </c>
      <c r="N5" s="38">
        <v>8.3333333333333329E-2</v>
      </c>
      <c r="O5" s="19">
        <f t="shared" ref="O5:O31" si="6">SUM(N5,O4)</f>
        <v>0.21875</v>
      </c>
      <c r="P5" s="42">
        <f t="shared" si="1"/>
        <v>10.5</v>
      </c>
      <c r="Q5" s="19">
        <f t="shared" si="2"/>
        <v>1.1111111111111099E-2</v>
      </c>
      <c r="R5" s="19">
        <f>SUM(Q5,R4)</f>
        <v>3.1249999999999986E-2</v>
      </c>
      <c r="S5" s="9">
        <v>25</v>
      </c>
      <c r="T5" s="9">
        <v>25</v>
      </c>
      <c r="U5" s="16">
        <f>SUM(-S5,T5)</f>
        <v>0</v>
      </c>
      <c r="V5" s="27">
        <v>25</v>
      </c>
      <c r="W5" s="16">
        <f t="shared" ref="W5:W31" si="7">SUM(W4,V5)</f>
        <v>50</v>
      </c>
      <c r="X5" s="9">
        <f t="shared" si="3"/>
        <v>25</v>
      </c>
      <c r="Y5" s="16">
        <f>SUM(Y4,X5)</f>
        <v>50</v>
      </c>
      <c r="Z5" s="16">
        <f t="shared" si="4"/>
        <v>0</v>
      </c>
      <c r="AA5" s="9">
        <v>25</v>
      </c>
      <c r="AB5" s="9"/>
      <c r="AC5" s="28"/>
      <c r="AD5" s="27"/>
      <c r="AE5" s="28"/>
      <c r="AF5" s="28"/>
      <c r="AG5" s="28"/>
      <c r="AH5" s="17">
        <f>SUM(AG5,-AF5)</f>
        <v>0</v>
      </c>
    </row>
    <row r="6" spans="1:34" ht="13">
      <c r="A6" s="44" t="s">
        <v>68</v>
      </c>
      <c r="B6" s="45">
        <v>44935</v>
      </c>
      <c r="C6" s="48" t="s">
        <v>93</v>
      </c>
      <c r="D6" s="51" t="s">
        <v>166</v>
      </c>
      <c r="E6" s="50" t="s">
        <v>94</v>
      </c>
      <c r="F6" s="4">
        <v>108</v>
      </c>
      <c r="G6" s="15">
        <f t="shared" ref="G6:G31" si="8">SUM(G5,F6)</f>
        <v>172</v>
      </c>
      <c r="H6" s="9">
        <f>ROUND(PRODUCT(G6/3),0)</f>
        <v>57</v>
      </c>
      <c r="I6" s="9">
        <f>ROUND(PRODUCT(G6/COUNT(F4:F6)),0)</f>
        <v>57</v>
      </c>
      <c r="J6" s="38">
        <v>0.24652777777777779</v>
      </c>
      <c r="K6" s="19">
        <f t="shared" si="5"/>
        <v>0.43402777777777779</v>
      </c>
      <c r="L6" s="42">
        <f t="shared" si="0"/>
        <v>18.3</v>
      </c>
      <c r="M6" s="33">
        <v>43.5</v>
      </c>
      <c r="N6" s="38">
        <v>0.47916666666666669</v>
      </c>
      <c r="O6" s="19">
        <f t="shared" si="6"/>
        <v>0.69791666666666674</v>
      </c>
      <c r="P6" s="42">
        <f t="shared" si="1"/>
        <v>9.4</v>
      </c>
      <c r="Q6" s="19">
        <f t="shared" si="2"/>
        <v>0.2326388888888889</v>
      </c>
      <c r="R6" s="19">
        <f t="shared" ref="R6:R31" si="9">SUM(Q6,R5)</f>
        <v>0.2638888888888889</v>
      </c>
      <c r="S6" s="9">
        <v>25</v>
      </c>
      <c r="T6" s="27">
        <v>10</v>
      </c>
      <c r="U6" s="16">
        <f t="shared" ref="U6:U31" si="10">SUM(-S6,T6)</f>
        <v>-15</v>
      </c>
      <c r="V6" s="27">
        <v>225</v>
      </c>
      <c r="W6" s="16">
        <f t="shared" si="7"/>
        <v>275</v>
      </c>
      <c r="X6" s="9">
        <f t="shared" si="3"/>
        <v>240</v>
      </c>
      <c r="Y6" s="16">
        <f t="shared" ref="Y6:Y31" si="11">SUM(Y5,X6)</f>
        <v>290</v>
      </c>
      <c r="Z6" s="16">
        <f t="shared" si="4"/>
        <v>-15</v>
      </c>
      <c r="AA6" s="9">
        <v>25</v>
      </c>
      <c r="AB6" s="9"/>
      <c r="AC6" s="28"/>
      <c r="AD6" s="27"/>
      <c r="AE6" s="28"/>
      <c r="AF6" s="28"/>
      <c r="AG6" s="28"/>
      <c r="AH6" s="17">
        <f t="shared" ref="AH6:AH31" si="12">SUM(AG6,-AF6)</f>
        <v>0</v>
      </c>
    </row>
    <row r="7" spans="1:34" ht="13">
      <c r="A7" s="44" t="s">
        <v>69</v>
      </c>
      <c r="B7" s="45">
        <v>44936</v>
      </c>
      <c r="C7" s="48" t="s">
        <v>94</v>
      </c>
      <c r="D7" s="49" t="s">
        <v>95</v>
      </c>
      <c r="E7" s="50" t="s">
        <v>96</v>
      </c>
      <c r="F7" s="4">
        <v>100</v>
      </c>
      <c r="G7" s="15">
        <f t="shared" si="8"/>
        <v>272</v>
      </c>
      <c r="H7" s="9">
        <f>ROUND(PRODUCT(G7/4),0)</f>
        <v>68</v>
      </c>
      <c r="I7" s="9">
        <f>ROUND(PRODUCT(G7/COUNT(F4:F7)),0)</f>
        <v>68</v>
      </c>
      <c r="J7" s="38">
        <v>0.26944444444444443</v>
      </c>
      <c r="K7" s="19">
        <f t="shared" si="5"/>
        <v>0.70347222222222228</v>
      </c>
      <c r="L7" s="42">
        <f t="shared" si="0"/>
        <v>15.5</v>
      </c>
      <c r="M7" s="34">
        <v>43.3</v>
      </c>
      <c r="N7" s="38">
        <v>0.54861111111111105</v>
      </c>
      <c r="O7" s="19">
        <f t="shared" si="6"/>
        <v>1.2465277777777777</v>
      </c>
      <c r="P7" s="42">
        <f t="shared" si="1"/>
        <v>7.6</v>
      </c>
      <c r="Q7" s="19">
        <f t="shared" si="2"/>
        <v>0.27916666666666662</v>
      </c>
      <c r="R7" s="19">
        <f t="shared" si="9"/>
        <v>0.54305555555555551</v>
      </c>
      <c r="S7" s="27">
        <v>10</v>
      </c>
      <c r="T7" s="27">
        <v>10</v>
      </c>
      <c r="U7" s="16">
        <f t="shared" si="10"/>
        <v>0</v>
      </c>
      <c r="V7" s="27">
        <v>300</v>
      </c>
      <c r="W7" s="16">
        <f t="shared" si="7"/>
        <v>575</v>
      </c>
      <c r="X7" s="9">
        <f t="shared" si="3"/>
        <v>300</v>
      </c>
      <c r="Y7" s="16">
        <f t="shared" si="11"/>
        <v>590</v>
      </c>
      <c r="Z7" s="16">
        <f t="shared" si="4"/>
        <v>0</v>
      </c>
      <c r="AA7" s="27">
        <v>25</v>
      </c>
      <c r="AB7" s="27"/>
      <c r="AC7" s="28"/>
      <c r="AD7" s="27"/>
      <c r="AE7" s="28"/>
      <c r="AF7" s="28"/>
      <c r="AG7" s="28"/>
      <c r="AH7" s="17">
        <f t="shared" si="12"/>
        <v>0</v>
      </c>
    </row>
    <row r="8" spans="1:34" ht="13">
      <c r="A8" s="44" t="s">
        <v>70</v>
      </c>
      <c r="B8" s="45">
        <v>44937</v>
      </c>
      <c r="C8" s="48" t="s">
        <v>96</v>
      </c>
      <c r="D8" s="49"/>
      <c r="E8" s="50" t="s">
        <v>97</v>
      </c>
      <c r="F8" s="4">
        <v>123</v>
      </c>
      <c r="G8" s="15">
        <f t="shared" si="8"/>
        <v>395</v>
      </c>
      <c r="H8" s="9">
        <f>ROUND(PRODUCT(G8/5),0)</f>
        <v>79</v>
      </c>
      <c r="I8" s="9">
        <f>ROUND(PRODUCT(G8/COUNT(F4:F8)),0)</f>
        <v>79</v>
      </c>
      <c r="J8" s="38">
        <v>0.25833333333333336</v>
      </c>
      <c r="K8" s="19">
        <f t="shared" si="5"/>
        <v>0.96180555555555558</v>
      </c>
      <c r="L8" s="42">
        <f t="shared" si="0"/>
        <v>19.8</v>
      </c>
      <c r="M8" s="34">
        <v>48.3</v>
      </c>
      <c r="N8" s="38">
        <v>0.3125</v>
      </c>
      <c r="O8" s="19">
        <f t="shared" si="6"/>
        <v>1.5590277777777777</v>
      </c>
      <c r="P8" s="42">
        <f t="shared" si="1"/>
        <v>16.399999999999999</v>
      </c>
      <c r="Q8" s="19">
        <f t="shared" si="2"/>
        <v>5.4166666666666641E-2</v>
      </c>
      <c r="R8" s="19">
        <f t="shared" si="9"/>
        <v>0.5972222222222221</v>
      </c>
      <c r="S8" s="27">
        <v>10</v>
      </c>
      <c r="T8" s="27">
        <v>50</v>
      </c>
      <c r="U8" s="16">
        <f t="shared" si="10"/>
        <v>40</v>
      </c>
      <c r="V8" s="27">
        <v>300</v>
      </c>
      <c r="W8" s="16">
        <f t="shared" si="7"/>
        <v>875</v>
      </c>
      <c r="X8" s="9">
        <f t="shared" si="3"/>
        <v>260</v>
      </c>
      <c r="Y8" s="16">
        <f t="shared" si="11"/>
        <v>850</v>
      </c>
      <c r="Z8" s="16">
        <f t="shared" si="4"/>
        <v>40</v>
      </c>
      <c r="AA8" s="27">
        <v>70</v>
      </c>
      <c r="AB8" s="27"/>
      <c r="AC8" s="28"/>
      <c r="AD8" s="27"/>
      <c r="AE8" s="28"/>
      <c r="AF8" s="28"/>
      <c r="AG8" s="28"/>
      <c r="AH8" s="17">
        <f t="shared" si="12"/>
        <v>0</v>
      </c>
    </row>
    <row r="9" spans="1:34" ht="13">
      <c r="A9" s="44" t="s">
        <v>71</v>
      </c>
      <c r="B9" s="45">
        <v>44938</v>
      </c>
      <c r="C9" s="48" t="s">
        <v>97</v>
      </c>
      <c r="D9" s="49"/>
      <c r="E9" s="50" t="s">
        <v>98</v>
      </c>
      <c r="F9" s="4">
        <v>114</v>
      </c>
      <c r="G9" s="15">
        <f t="shared" si="8"/>
        <v>509</v>
      </c>
      <c r="H9" s="9">
        <f>ROUND(PRODUCT(G9/6),0)</f>
        <v>85</v>
      </c>
      <c r="I9" s="9">
        <f>ROUND(PRODUCT(G9/COUNT(F4:F9)),0)</f>
        <v>85</v>
      </c>
      <c r="J9" s="38">
        <v>0.2388888888888889</v>
      </c>
      <c r="K9" s="19">
        <f t="shared" si="5"/>
        <v>1.2006944444444445</v>
      </c>
      <c r="L9" s="42">
        <f t="shared" si="0"/>
        <v>19.899999999999999</v>
      </c>
      <c r="M9" s="34">
        <v>46.3</v>
      </c>
      <c r="N9" s="38">
        <v>0.3125</v>
      </c>
      <c r="O9" s="19">
        <f t="shared" si="6"/>
        <v>1.8715277777777777</v>
      </c>
      <c r="P9" s="42">
        <f t="shared" si="1"/>
        <v>15.2</v>
      </c>
      <c r="Q9" s="19">
        <f t="shared" si="2"/>
        <v>7.3611111111111099E-2</v>
      </c>
      <c r="R9" s="19">
        <f t="shared" si="9"/>
        <v>0.67083333333333317</v>
      </c>
      <c r="S9" s="27">
        <v>50</v>
      </c>
      <c r="T9" s="27">
        <v>10</v>
      </c>
      <c r="U9" s="16">
        <f t="shared" si="10"/>
        <v>-40</v>
      </c>
      <c r="V9" s="27">
        <v>300</v>
      </c>
      <c r="W9" s="16">
        <f t="shared" si="7"/>
        <v>1175</v>
      </c>
      <c r="X9" s="9">
        <f t="shared" si="3"/>
        <v>340</v>
      </c>
      <c r="Y9" s="16">
        <f t="shared" si="11"/>
        <v>1190</v>
      </c>
      <c r="Z9" s="16">
        <f t="shared" si="4"/>
        <v>-40</v>
      </c>
      <c r="AA9" s="27">
        <v>70</v>
      </c>
      <c r="AB9" s="27"/>
      <c r="AC9" s="28"/>
      <c r="AD9" s="27"/>
      <c r="AE9" s="28"/>
      <c r="AF9" s="28"/>
      <c r="AG9" s="28"/>
      <c r="AH9" s="17">
        <f t="shared" si="12"/>
        <v>0</v>
      </c>
    </row>
    <row r="10" spans="1:34" ht="13">
      <c r="A10" s="44" t="s">
        <v>72</v>
      </c>
      <c r="B10" s="45">
        <v>44939</v>
      </c>
      <c r="C10" s="48" t="s">
        <v>98</v>
      </c>
      <c r="D10" s="49" t="s">
        <v>99</v>
      </c>
      <c r="E10" s="50" t="s">
        <v>100</v>
      </c>
      <c r="F10" s="4">
        <v>150</v>
      </c>
      <c r="G10" s="15">
        <f t="shared" si="8"/>
        <v>659</v>
      </c>
      <c r="H10" s="9">
        <f>ROUND(PRODUCT(G10/7),0)</f>
        <v>94</v>
      </c>
      <c r="I10" s="9">
        <f>ROUND(PRODUCT(G10/COUNT(F4:F10)),0)</f>
        <v>94</v>
      </c>
      <c r="J10" s="38">
        <v>0.30624999999999997</v>
      </c>
      <c r="K10" s="19">
        <f t="shared" si="5"/>
        <v>1.5069444444444444</v>
      </c>
      <c r="L10" s="42">
        <f t="shared" si="0"/>
        <v>20.399999999999999</v>
      </c>
      <c r="M10" s="33">
        <v>41.3</v>
      </c>
      <c r="N10" s="38">
        <v>0.375</v>
      </c>
      <c r="O10" s="19">
        <f t="shared" si="6"/>
        <v>2.2465277777777777</v>
      </c>
      <c r="P10" s="42">
        <f t="shared" si="1"/>
        <v>16.7</v>
      </c>
      <c r="Q10" s="19">
        <f t="shared" si="2"/>
        <v>6.8750000000000033E-2</v>
      </c>
      <c r="R10" s="19">
        <f t="shared" si="9"/>
        <v>0.73958333333333326</v>
      </c>
      <c r="S10" s="27">
        <v>10</v>
      </c>
      <c r="T10" s="27">
        <v>40</v>
      </c>
      <c r="U10" s="16">
        <f t="shared" si="10"/>
        <v>30</v>
      </c>
      <c r="V10" s="27">
        <v>350</v>
      </c>
      <c r="W10" s="16">
        <f t="shared" si="7"/>
        <v>1525</v>
      </c>
      <c r="X10" s="9">
        <f t="shared" si="3"/>
        <v>320</v>
      </c>
      <c r="Y10" s="16">
        <f t="shared" si="11"/>
        <v>1510</v>
      </c>
      <c r="Z10" s="16">
        <f t="shared" si="4"/>
        <v>30</v>
      </c>
      <c r="AA10" s="27">
        <v>100</v>
      </c>
      <c r="AB10" s="9"/>
      <c r="AC10" s="28"/>
      <c r="AD10" s="27"/>
      <c r="AE10" s="28"/>
      <c r="AF10" s="28"/>
      <c r="AG10" s="28"/>
      <c r="AH10" s="17">
        <f t="shared" si="12"/>
        <v>0</v>
      </c>
    </row>
    <row r="11" spans="1:34" ht="13">
      <c r="A11" s="43" t="s">
        <v>73</v>
      </c>
      <c r="B11" s="45">
        <v>44940</v>
      </c>
      <c r="C11" s="48" t="s">
        <v>100</v>
      </c>
      <c r="D11" s="49" t="s">
        <v>101</v>
      </c>
      <c r="E11" s="50" t="s">
        <v>102</v>
      </c>
      <c r="F11" s="4">
        <v>95</v>
      </c>
      <c r="G11" s="15">
        <f t="shared" si="8"/>
        <v>754</v>
      </c>
      <c r="H11" s="9">
        <f>ROUND(PRODUCT(G11/8),0)</f>
        <v>94</v>
      </c>
      <c r="I11" s="9">
        <f>ROUND(PRODUCT(G11/COUNT(F4:F11)),0)</f>
        <v>94</v>
      </c>
      <c r="J11" s="38">
        <v>0.22569444444444445</v>
      </c>
      <c r="K11" s="19">
        <f t="shared" si="5"/>
        <v>1.7326388888888888</v>
      </c>
      <c r="L11" s="42">
        <f t="shared" si="0"/>
        <v>17.5</v>
      </c>
      <c r="M11" s="34">
        <v>31.3</v>
      </c>
      <c r="N11" s="38">
        <v>0.33333333333333331</v>
      </c>
      <c r="O11" s="19">
        <f t="shared" si="6"/>
        <v>2.5798611111111112</v>
      </c>
      <c r="P11" s="42">
        <f t="shared" si="1"/>
        <v>11.9</v>
      </c>
      <c r="Q11" s="19">
        <f t="shared" si="2"/>
        <v>0.10763888888888887</v>
      </c>
      <c r="R11" s="19">
        <f t="shared" si="9"/>
        <v>0.8472222222222221</v>
      </c>
      <c r="S11" s="27">
        <v>40</v>
      </c>
      <c r="T11" s="27">
        <v>80</v>
      </c>
      <c r="U11" s="16">
        <f t="shared" si="10"/>
        <v>40</v>
      </c>
      <c r="V11" s="27">
        <v>160</v>
      </c>
      <c r="W11" s="16">
        <f t="shared" si="7"/>
        <v>1685</v>
      </c>
      <c r="X11" s="9">
        <f t="shared" si="3"/>
        <v>120</v>
      </c>
      <c r="Y11" s="16">
        <f t="shared" si="11"/>
        <v>1630</v>
      </c>
      <c r="Z11" s="16">
        <f t="shared" si="4"/>
        <v>40</v>
      </c>
      <c r="AA11" s="27">
        <v>90</v>
      </c>
      <c r="AB11" s="27"/>
      <c r="AC11" s="28"/>
      <c r="AD11" s="27"/>
      <c r="AE11" s="28"/>
      <c r="AF11" s="28"/>
      <c r="AG11" s="28"/>
      <c r="AH11" s="17">
        <f t="shared" si="12"/>
        <v>0</v>
      </c>
    </row>
    <row r="12" spans="1:34" ht="13">
      <c r="A12" s="43" t="s">
        <v>74</v>
      </c>
      <c r="B12" s="45">
        <v>44941</v>
      </c>
      <c r="C12" s="48" t="s">
        <v>102</v>
      </c>
      <c r="D12" s="49" t="s">
        <v>103</v>
      </c>
      <c r="E12" s="50" t="s">
        <v>104</v>
      </c>
      <c r="F12" s="4">
        <v>88</v>
      </c>
      <c r="G12" s="15">
        <f t="shared" si="8"/>
        <v>842</v>
      </c>
      <c r="H12" s="9">
        <f>ROUND(PRODUCT(G12/9),0)</f>
        <v>94</v>
      </c>
      <c r="I12" s="9">
        <f>ROUND(PRODUCT(G12/COUNT(F4:F12)),0)</f>
        <v>94</v>
      </c>
      <c r="J12" s="38">
        <v>0.22500000000000001</v>
      </c>
      <c r="K12" s="19">
        <f t="shared" si="5"/>
        <v>1.9576388888888889</v>
      </c>
      <c r="L12" s="42">
        <f t="shared" si="0"/>
        <v>16.3</v>
      </c>
      <c r="M12" s="33">
        <v>28.9</v>
      </c>
      <c r="N12" s="38">
        <v>0.28125</v>
      </c>
      <c r="O12" s="19">
        <f t="shared" si="6"/>
        <v>2.8611111111111112</v>
      </c>
      <c r="P12" s="42">
        <f t="shared" si="1"/>
        <v>13</v>
      </c>
      <c r="Q12" s="19">
        <f t="shared" si="2"/>
        <v>5.6249999999999994E-2</v>
      </c>
      <c r="R12" s="19">
        <f t="shared" si="9"/>
        <v>0.90347222222222212</v>
      </c>
      <c r="S12" s="27">
        <v>80</v>
      </c>
      <c r="T12" s="27">
        <v>70</v>
      </c>
      <c r="U12" s="16">
        <f t="shared" si="10"/>
        <v>-10</v>
      </c>
      <c r="V12" s="27">
        <v>125</v>
      </c>
      <c r="W12" s="16">
        <f t="shared" si="7"/>
        <v>1810</v>
      </c>
      <c r="X12" s="9">
        <f t="shared" si="3"/>
        <v>135</v>
      </c>
      <c r="Y12" s="16">
        <f t="shared" si="11"/>
        <v>1765</v>
      </c>
      <c r="Z12" s="16">
        <f t="shared" si="4"/>
        <v>-10</v>
      </c>
      <c r="AA12" s="27">
        <v>80</v>
      </c>
      <c r="AB12" s="9"/>
      <c r="AC12" s="28"/>
      <c r="AD12" s="27"/>
      <c r="AE12" s="28"/>
      <c r="AF12" s="28"/>
      <c r="AG12" s="28"/>
      <c r="AH12" s="17">
        <f t="shared" si="12"/>
        <v>0</v>
      </c>
    </row>
    <row r="13" spans="1:34" ht="13">
      <c r="A13" s="43" t="s">
        <v>5</v>
      </c>
      <c r="B13" s="45">
        <v>44942</v>
      </c>
      <c r="C13" s="48" t="s">
        <v>104</v>
      </c>
      <c r="D13" s="49" t="s">
        <v>105</v>
      </c>
      <c r="E13" s="50" t="s">
        <v>106</v>
      </c>
      <c r="F13" s="4">
        <v>138</v>
      </c>
      <c r="G13" s="15">
        <f t="shared" si="8"/>
        <v>980</v>
      </c>
      <c r="H13" s="9">
        <f>ROUND(PRODUCT(G13/10),0)</f>
        <v>98</v>
      </c>
      <c r="I13" s="9">
        <f>ROUND(PRODUCT(G13/COUNT(F4:F13)),0)</f>
        <v>98</v>
      </c>
      <c r="J13" s="38">
        <v>0.32083333333333336</v>
      </c>
      <c r="K13" s="19">
        <f t="shared" si="5"/>
        <v>2.2784722222222222</v>
      </c>
      <c r="L13" s="42">
        <f t="shared" si="0"/>
        <v>17.899999999999999</v>
      </c>
      <c r="M13" s="34">
        <v>34.4</v>
      </c>
      <c r="N13" s="38">
        <v>0.45833333333333331</v>
      </c>
      <c r="O13" s="19">
        <f t="shared" si="6"/>
        <v>3.3194444444444446</v>
      </c>
      <c r="P13" s="42">
        <f t="shared" si="1"/>
        <v>12.5</v>
      </c>
      <c r="Q13" s="19">
        <f t="shared" si="2"/>
        <v>0.13749999999999996</v>
      </c>
      <c r="R13" s="19">
        <f t="shared" si="9"/>
        <v>1.040972222222222</v>
      </c>
      <c r="S13" s="27">
        <v>70</v>
      </c>
      <c r="T13" s="27">
        <v>110</v>
      </c>
      <c r="U13" s="16">
        <f t="shared" si="10"/>
        <v>40</v>
      </c>
      <c r="V13" s="27">
        <v>160</v>
      </c>
      <c r="W13" s="16">
        <f t="shared" si="7"/>
        <v>1970</v>
      </c>
      <c r="X13" s="9">
        <f t="shared" si="3"/>
        <v>120</v>
      </c>
      <c r="Y13" s="16">
        <f t="shared" si="11"/>
        <v>1885</v>
      </c>
      <c r="Z13" s="16">
        <f t="shared" si="4"/>
        <v>40</v>
      </c>
      <c r="AA13" s="27">
        <v>110</v>
      </c>
      <c r="AB13" s="27"/>
      <c r="AC13" s="28"/>
      <c r="AD13" s="27"/>
      <c r="AE13" s="28"/>
      <c r="AF13" s="28"/>
      <c r="AG13" s="28"/>
      <c r="AH13" s="17">
        <f t="shared" si="12"/>
        <v>0</v>
      </c>
    </row>
    <row r="14" spans="1:34" ht="13">
      <c r="A14" s="43" t="s">
        <v>7</v>
      </c>
      <c r="B14" s="45">
        <v>44943</v>
      </c>
      <c r="C14" s="48" t="s">
        <v>106</v>
      </c>
      <c r="D14" s="49" t="s">
        <v>107</v>
      </c>
      <c r="E14" s="50" t="s">
        <v>108</v>
      </c>
      <c r="F14" s="4">
        <v>97</v>
      </c>
      <c r="G14" s="15">
        <f t="shared" si="8"/>
        <v>1077</v>
      </c>
      <c r="H14" s="9">
        <f>ROUND(PRODUCT(G14/11),0)</f>
        <v>98</v>
      </c>
      <c r="I14" s="9">
        <f>ROUND(PRODUCT(G14/COUNT(F4:F14)),0)</f>
        <v>98</v>
      </c>
      <c r="J14" s="38">
        <v>0.22083333333333333</v>
      </c>
      <c r="K14" s="19">
        <f t="shared" si="5"/>
        <v>2.4993055555555554</v>
      </c>
      <c r="L14" s="42">
        <f t="shared" si="0"/>
        <v>18.3</v>
      </c>
      <c r="M14" s="34">
        <v>36.6</v>
      </c>
      <c r="N14" s="38">
        <v>0.28125</v>
      </c>
      <c r="O14" s="19">
        <f t="shared" si="6"/>
        <v>3.6006944444444446</v>
      </c>
      <c r="P14" s="42">
        <f t="shared" si="1"/>
        <v>14.4</v>
      </c>
      <c r="Q14" s="19">
        <f t="shared" si="2"/>
        <v>6.0416666666666674E-2</v>
      </c>
      <c r="R14" s="19">
        <f t="shared" si="9"/>
        <v>1.1013888888888888</v>
      </c>
      <c r="S14" s="27">
        <v>110</v>
      </c>
      <c r="T14" s="27">
        <v>90</v>
      </c>
      <c r="U14" s="16">
        <f t="shared" si="10"/>
        <v>-20</v>
      </c>
      <c r="V14" s="27">
        <v>160</v>
      </c>
      <c r="W14" s="16">
        <f t="shared" si="7"/>
        <v>2130</v>
      </c>
      <c r="X14" s="9">
        <f t="shared" si="3"/>
        <v>180</v>
      </c>
      <c r="Y14" s="16">
        <f t="shared" si="11"/>
        <v>2065</v>
      </c>
      <c r="Z14" s="16">
        <f t="shared" si="4"/>
        <v>-20</v>
      </c>
      <c r="AA14" s="27">
        <v>165</v>
      </c>
      <c r="AB14" s="27"/>
      <c r="AC14" s="28"/>
      <c r="AD14" s="27"/>
      <c r="AE14" s="28"/>
      <c r="AF14" s="28"/>
      <c r="AG14" s="28"/>
      <c r="AH14" s="17">
        <f t="shared" si="12"/>
        <v>0</v>
      </c>
    </row>
    <row r="15" spans="1:34" ht="13">
      <c r="A15" s="43" t="s">
        <v>35</v>
      </c>
      <c r="B15" s="45">
        <v>44944</v>
      </c>
      <c r="C15" s="48" t="s">
        <v>108</v>
      </c>
      <c r="D15" s="49" t="s">
        <v>167</v>
      </c>
      <c r="E15" s="50" t="s">
        <v>109</v>
      </c>
      <c r="F15" s="4">
        <v>88</v>
      </c>
      <c r="G15" s="15">
        <f t="shared" si="8"/>
        <v>1165</v>
      </c>
      <c r="H15" s="9">
        <f>ROUND(PRODUCT(G15/12),0)</f>
        <v>97</v>
      </c>
      <c r="I15" s="9">
        <f>ROUND(PRODUCT(G15/COUNT(F4:F15)),0)</f>
        <v>97</v>
      </c>
      <c r="J15" s="47">
        <v>0.19375000000000001</v>
      </c>
      <c r="K15" s="19">
        <f t="shared" si="5"/>
        <v>2.6930555555555555</v>
      </c>
      <c r="L15" s="42">
        <f t="shared" si="0"/>
        <v>18.899999999999999</v>
      </c>
      <c r="M15" s="33">
        <v>32.700000000000003</v>
      </c>
      <c r="N15" s="38">
        <v>0.3125</v>
      </c>
      <c r="O15" s="19">
        <f t="shared" si="6"/>
        <v>3.9131944444444446</v>
      </c>
      <c r="P15" s="42">
        <f t="shared" si="1"/>
        <v>11.7</v>
      </c>
      <c r="Q15" s="19">
        <f t="shared" si="2"/>
        <v>0.11874999999999999</v>
      </c>
      <c r="R15" s="19">
        <f t="shared" si="9"/>
        <v>1.2201388888888887</v>
      </c>
      <c r="S15" s="27">
        <v>90</v>
      </c>
      <c r="T15" s="27">
        <v>130</v>
      </c>
      <c r="U15" s="16">
        <f t="shared" si="10"/>
        <v>40</v>
      </c>
      <c r="V15" s="27">
        <v>73</v>
      </c>
      <c r="W15" s="16">
        <f t="shared" si="7"/>
        <v>2203</v>
      </c>
      <c r="X15" s="9">
        <f t="shared" si="3"/>
        <v>33</v>
      </c>
      <c r="Y15" s="16">
        <f t="shared" si="11"/>
        <v>2098</v>
      </c>
      <c r="Z15" s="16">
        <f t="shared" si="4"/>
        <v>40</v>
      </c>
      <c r="AA15" s="27">
        <v>130</v>
      </c>
      <c r="AB15" s="9"/>
      <c r="AC15" s="28"/>
      <c r="AD15" s="27"/>
      <c r="AE15" s="28"/>
      <c r="AF15" s="28"/>
      <c r="AG15" s="28"/>
      <c r="AH15" s="17">
        <f t="shared" si="12"/>
        <v>0</v>
      </c>
    </row>
    <row r="16" spans="1:34" ht="13">
      <c r="A16" s="43" t="s">
        <v>36</v>
      </c>
      <c r="B16" s="45">
        <v>44945</v>
      </c>
      <c r="C16" s="48" t="s">
        <v>109</v>
      </c>
      <c r="D16" s="49" t="s">
        <v>110</v>
      </c>
      <c r="E16" s="50" t="s">
        <v>111</v>
      </c>
      <c r="F16" s="4">
        <v>114</v>
      </c>
      <c r="G16" s="15">
        <f t="shared" si="8"/>
        <v>1279</v>
      </c>
      <c r="H16" s="9">
        <f>ROUND(PRODUCT(G16/13),0)</f>
        <v>98</v>
      </c>
      <c r="I16" s="9">
        <f>ROUND(PRODUCT(G16/COUNT(F4:F16)),0)</f>
        <v>98</v>
      </c>
      <c r="J16" s="38">
        <v>0.26180555555555557</v>
      </c>
      <c r="K16" s="19">
        <f t="shared" si="5"/>
        <v>2.9548611111111112</v>
      </c>
      <c r="L16" s="42">
        <f t="shared" si="0"/>
        <v>18.100000000000001</v>
      </c>
      <c r="M16" s="33">
        <v>47.1</v>
      </c>
      <c r="N16" s="38">
        <v>0.29166666666666669</v>
      </c>
      <c r="O16" s="19">
        <f t="shared" si="6"/>
        <v>4.2048611111111116</v>
      </c>
      <c r="P16" s="42">
        <f t="shared" si="1"/>
        <v>16.3</v>
      </c>
      <c r="Q16" s="19">
        <f t="shared" si="2"/>
        <v>2.9861111111111116E-2</v>
      </c>
      <c r="R16" s="19">
        <f t="shared" si="9"/>
        <v>1.2499999999999998</v>
      </c>
      <c r="S16" s="27">
        <v>130</v>
      </c>
      <c r="T16" s="27">
        <v>75</v>
      </c>
      <c r="U16" s="16">
        <f t="shared" si="10"/>
        <v>-55</v>
      </c>
      <c r="V16" s="27">
        <v>460</v>
      </c>
      <c r="W16" s="16">
        <f t="shared" si="7"/>
        <v>2663</v>
      </c>
      <c r="X16" s="9">
        <f t="shared" si="3"/>
        <v>515</v>
      </c>
      <c r="Y16" s="16">
        <f t="shared" si="11"/>
        <v>2613</v>
      </c>
      <c r="Z16" s="16">
        <f t="shared" si="4"/>
        <v>-55</v>
      </c>
      <c r="AA16" s="27">
        <v>190</v>
      </c>
      <c r="AB16" s="9"/>
      <c r="AC16" s="28"/>
      <c r="AD16" s="27"/>
      <c r="AE16" s="28"/>
      <c r="AF16" s="28"/>
      <c r="AG16" s="28"/>
      <c r="AH16" s="17">
        <f t="shared" si="12"/>
        <v>0</v>
      </c>
    </row>
    <row r="17" spans="1:34" ht="13">
      <c r="A17" s="43" t="s">
        <v>37</v>
      </c>
      <c r="B17" s="45">
        <v>44946</v>
      </c>
      <c r="C17" s="48" t="s">
        <v>111</v>
      </c>
      <c r="D17" s="49" t="s">
        <v>112</v>
      </c>
      <c r="E17" s="50" t="s">
        <v>113</v>
      </c>
      <c r="F17" s="4">
        <v>130</v>
      </c>
      <c r="G17" s="15">
        <f t="shared" si="8"/>
        <v>1409</v>
      </c>
      <c r="H17" s="9">
        <f>ROUND(PRODUCT(G17/14),0)</f>
        <v>101</v>
      </c>
      <c r="I17" s="9">
        <f>ROUND(PRODUCT(G17/COUNT(F4:F17)),0)</f>
        <v>101</v>
      </c>
      <c r="J17" s="38">
        <v>0.33055555555555555</v>
      </c>
      <c r="K17" s="19">
        <f t="shared" si="5"/>
        <v>3.2854166666666669</v>
      </c>
      <c r="L17" s="42">
        <f t="shared" si="0"/>
        <v>16.399999999999999</v>
      </c>
      <c r="M17" s="33">
        <v>42.5</v>
      </c>
      <c r="N17" s="38">
        <v>0.53125</v>
      </c>
      <c r="O17" s="19">
        <f t="shared" si="6"/>
        <v>4.7361111111111116</v>
      </c>
      <c r="P17" s="42">
        <f t="shared" si="1"/>
        <v>10.199999999999999</v>
      </c>
      <c r="Q17" s="19">
        <f t="shared" si="2"/>
        <v>0.20069444444444445</v>
      </c>
      <c r="R17" s="19">
        <f t="shared" si="9"/>
        <v>1.4506944444444443</v>
      </c>
      <c r="S17" s="27">
        <v>75</v>
      </c>
      <c r="T17" s="27">
        <v>70</v>
      </c>
      <c r="U17" s="16">
        <f t="shared" si="10"/>
        <v>-5</v>
      </c>
      <c r="V17" s="27">
        <v>740</v>
      </c>
      <c r="W17" s="16">
        <f t="shared" si="7"/>
        <v>3403</v>
      </c>
      <c r="X17" s="9">
        <f t="shared" si="3"/>
        <v>745</v>
      </c>
      <c r="Y17" s="16">
        <f t="shared" si="11"/>
        <v>3358</v>
      </c>
      <c r="Z17" s="16">
        <f t="shared" si="4"/>
        <v>-5</v>
      </c>
      <c r="AA17" s="27">
        <v>240</v>
      </c>
      <c r="AB17" s="9"/>
      <c r="AC17" s="28"/>
      <c r="AD17" s="27"/>
      <c r="AE17" s="28"/>
      <c r="AF17" s="28"/>
      <c r="AG17" s="28"/>
      <c r="AH17" s="17">
        <f t="shared" si="12"/>
        <v>0</v>
      </c>
    </row>
    <row r="18" spans="1:34" ht="13">
      <c r="A18" s="43" t="s">
        <v>38</v>
      </c>
      <c r="B18" s="45">
        <v>44947</v>
      </c>
      <c r="C18" s="48" t="s">
        <v>113</v>
      </c>
      <c r="D18" s="49"/>
      <c r="E18" s="50" t="s">
        <v>114</v>
      </c>
      <c r="F18" s="4">
        <v>41</v>
      </c>
      <c r="G18" s="15">
        <f t="shared" si="8"/>
        <v>1450</v>
      </c>
      <c r="H18" s="9">
        <f>ROUND(PRODUCT(G18/15),0)</f>
        <v>97</v>
      </c>
      <c r="I18" s="9">
        <f>ROUND(PRODUCT(G18/COUNT(F4:F18)),0)</f>
        <v>97</v>
      </c>
      <c r="J18" s="38">
        <v>0.12222222222222223</v>
      </c>
      <c r="K18" s="19">
        <f t="shared" si="5"/>
        <v>3.4076388888888891</v>
      </c>
      <c r="L18" s="42">
        <f t="shared" si="0"/>
        <v>14</v>
      </c>
      <c r="M18" s="33">
        <v>37</v>
      </c>
      <c r="N18" s="38">
        <v>0.15625</v>
      </c>
      <c r="O18" s="19">
        <f t="shared" si="6"/>
        <v>4.8923611111111116</v>
      </c>
      <c r="P18" s="42">
        <f t="shared" si="1"/>
        <v>10.9</v>
      </c>
      <c r="Q18" s="19">
        <f t="shared" si="2"/>
        <v>3.4027777777777768E-2</v>
      </c>
      <c r="R18" s="19">
        <f t="shared" si="9"/>
        <v>1.4847222222222221</v>
      </c>
      <c r="S18" s="27">
        <v>70</v>
      </c>
      <c r="T18" s="27">
        <v>80</v>
      </c>
      <c r="U18" s="16">
        <f t="shared" si="10"/>
        <v>10</v>
      </c>
      <c r="V18" s="27">
        <v>230</v>
      </c>
      <c r="W18" s="16">
        <f t="shared" si="7"/>
        <v>3633</v>
      </c>
      <c r="X18" s="9">
        <f t="shared" si="3"/>
        <v>220</v>
      </c>
      <c r="Y18" s="16">
        <f t="shared" si="11"/>
        <v>3578</v>
      </c>
      <c r="Z18" s="16">
        <f t="shared" si="4"/>
        <v>10</v>
      </c>
      <c r="AA18" s="27">
        <v>170</v>
      </c>
      <c r="AB18" s="9"/>
      <c r="AC18" s="28"/>
      <c r="AD18" s="27"/>
      <c r="AE18" s="28"/>
      <c r="AF18" s="28"/>
      <c r="AG18" s="28"/>
      <c r="AH18" s="17">
        <f t="shared" si="12"/>
        <v>0</v>
      </c>
    </row>
    <row r="19" spans="1:34" ht="13">
      <c r="A19" s="43" t="s">
        <v>39</v>
      </c>
      <c r="B19" s="45">
        <v>44948</v>
      </c>
      <c r="C19" s="48"/>
      <c r="D19" s="49" t="s">
        <v>114</v>
      </c>
      <c r="E19" s="50"/>
      <c r="F19" s="4"/>
      <c r="G19" s="15">
        <f t="shared" si="8"/>
        <v>1450</v>
      </c>
      <c r="H19" s="9">
        <f>ROUND(PRODUCT(G19/16),0)</f>
        <v>91</v>
      </c>
      <c r="I19" s="9">
        <f>ROUND(PRODUCT(G19/COUNT(F4:F19)),0)</f>
        <v>97</v>
      </c>
      <c r="J19" s="38"/>
      <c r="K19" s="19">
        <f t="shared" si="5"/>
        <v>3.4076388888888891</v>
      </c>
      <c r="L19" s="42">
        <f t="shared" si="0"/>
        <v>0</v>
      </c>
      <c r="M19" s="33"/>
      <c r="N19" s="38"/>
      <c r="O19" s="19">
        <f t="shared" si="6"/>
        <v>4.8923611111111116</v>
      </c>
      <c r="P19" s="42">
        <f t="shared" si="1"/>
        <v>0</v>
      </c>
      <c r="Q19" s="19">
        <f t="shared" si="2"/>
        <v>0</v>
      </c>
      <c r="R19" s="19">
        <f t="shared" si="9"/>
        <v>1.4847222222222221</v>
      </c>
      <c r="S19" s="9"/>
      <c r="T19" s="9"/>
      <c r="U19" s="16">
        <f t="shared" si="10"/>
        <v>0</v>
      </c>
      <c r="V19" s="27"/>
      <c r="W19" s="16">
        <f t="shared" si="7"/>
        <v>3633</v>
      </c>
      <c r="X19" s="9">
        <f t="shared" si="3"/>
        <v>0</v>
      </c>
      <c r="Y19" s="16">
        <f t="shared" si="11"/>
        <v>3578</v>
      </c>
      <c r="Z19" s="16">
        <f t="shared" si="4"/>
        <v>0</v>
      </c>
      <c r="AA19" s="9"/>
      <c r="AB19" s="9"/>
      <c r="AC19" s="28"/>
      <c r="AD19" s="27"/>
      <c r="AE19" s="28"/>
      <c r="AF19" s="28"/>
      <c r="AG19" s="28"/>
      <c r="AH19" s="17">
        <f t="shared" si="12"/>
        <v>0</v>
      </c>
    </row>
    <row r="20" spans="1:34" ht="13">
      <c r="A20" s="43" t="s">
        <v>40</v>
      </c>
      <c r="B20" s="45">
        <v>44949</v>
      </c>
      <c r="C20" s="48" t="s">
        <v>114</v>
      </c>
      <c r="D20" s="49"/>
      <c r="E20" s="50" t="s">
        <v>115</v>
      </c>
      <c r="F20" s="4">
        <v>184</v>
      </c>
      <c r="G20" s="15">
        <f t="shared" si="8"/>
        <v>1634</v>
      </c>
      <c r="H20" s="9">
        <f>ROUND(PRODUCT(G20/17),0)</f>
        <v>96</v>
      </c>
      <c r="I20" s="9">
        <f>ROUND(PRODUCT(G20/COUNT(F4:F20)),0)</f>
        <v>102</v>
      </c>
      <c r="J20" s="38">
        <v>0.3888888888888889</v>
      </c>
      <c r="K20" s="19">
        <f t="shared" si="5"/>
        <v>3.7965277777777779</v>
      </c>
      <c r="L20" s="42">
        <f t="shared" si="0"/>
        <v>19.7</v>
      </c>
      <c r="M20" s="33">
        <v>32.799999999999997</v>
      </c>
      <c r="N20" s="38">
        <v>0.45833333333333331</v>
      </c>
      <c r="O20" s="19">
        <f t="shared" si="6"/>
        <v>5.3506944444444446</v>
      </c>
      <c r="P20" s="42">
        <f t="shared" si="1"/>
        <v>16.7</v>
      </c>
      <c r="Q20" s="19">
        <f t="shared" si="2"/>
        <v>6.944444444444442E-2</v>
      </c>
      <c r="R20" s="19">
        <f t="shared" si="9"/>
        <v>1.5541666666666665</v>
      </c>
      <c r="S20" s="27">
        <v>80</v>
      </c>
      <c r="T20" s="27">
        <v>90</v>
      </c>
      <c r="U20" s="16">
        <f t="shared" si="10"/>
        <v>10</v>
      </c>
      <c r="V20" s="27">
        <v>130</v>
      </c>
      <c r="W20" s="16">
        <f t="shared" si="7"/>
        <v>3763</v>
      </c>
      <c r="X20" s="9">
        <f t="shared" si="3"/>
        <v>120</v>
      </c>
      <c r="Y20" s="16">
        <f t="shared" si="11"/>
        <v>3698</v>
      </c>
      <c r="Z20" s="16">
        <f t="shared" si="4"/>
        <v>10</v>
      </c>
      <c r="AA20" s="27">
        <v>100</v>
      </c>
      <c r="AB20" s="9"/>
      <c r="AC20" s="28"/>
      <c r="AD20" s="27"/>
      <c r="AE20" s="28"/>
      <c r="AF20" s="28"/>
      <c r="AG20" s="28"/>
      <c r="AH20" s="17">
        <f t="shared" si="12"/>
        <v>0</v>
      </c>
    </row>
    <row r="21" spans="1:34" ht="13">
      <c r="A21" s="43" t="s">
        <v>41</v>
      </c>
      <c r="B21" s="45">
        <v>44950</v>
      </c>
      <c r="C21" s="48" t="s">
        <v>115</v>
      </c>
      <c r="D21" s="49"/>
      <c r="E21" s="50" t="s">
        <v>116</v>
      </c>
      <c r="F21" s="4">
        <v>87</v>
      </c>
      <c r="G21" s="15">
        <f t="shared" si="8"/>
        <v>1721</v>
      </c>
      <c r="H21" s="9">
        <f>ROUND(PRODUCT(G21/18),0)</f>
        <v>96</v>
      </c>
      <c r="I21" s="9">
        <f>ROUND(PRODUCT(G21/COUNT(F4:F21)),0)</f>
        <v>101</v>
      </c>
      <c r="J21" s="38">
        <v>0.22430555555555556</v>
      </c>
      <c r="K21" s="19">
        <f t="shared" si="5"/>
        <v>4.0208333333333339</v>
      </c>
      <c r="L21" s="42">
        <f t="shared" si="0"/>
        <v>16.2</v>
      </c>
      <c r="M21" s="34">
        <v>22</v>
      </c>
      <c r="N21" s="38">
        <v>0.29166666666666669</v>
      </c>
      <c r="O21" s="19">
        <f t="shared" si="6"/>
        <v>5.6423611111111116</v>
      </c>
      <c r="P21" s="42">
        <f t="shared" si="1"/>
        <v>12.4</v>
      </c>
      <c r="Q21" s="19">
        <f t="shared" si="2"/>
        <v>6.7361111111111122E-2</v>
      </c>
      <c r="R21" s="19">
        <f t="shared" si="9"/>
        <v>1.6215277777777777</v>
      </c>
      <c r="S21" s="27">
        <v>90</v>
      </c>
      <c r="T21" s="27">
        <v>100</v>
      </c>
      <c r="U21" s="16">
        <f t="shared" si="10"/>
        <v>10</v>
      </c>
      <c r="V21" s="27">
        <v>10</v>
      </c>
      <c r="W21" s="16">
        <f t="shared" si="7"/>
        <v>3773</v>
      </c>
      <c r="X21" s="9">
        <f t="shared" si="3"/>
        <v>0</v>
      </c>
      <c r="Y21" s="16">
        <f t="shared" si="11"/>
        <v>3698</v>
      </c>
      <c r="Z21" s="16">
        <f t="shared" si="4"/>
        <v>10</v>
      </c>
      <c r="AA21" s="27">
        <v>100</v>
      </c>
      <c r="AB21" s="27"/>
      <c r="AC21" s="28"/>
      <c r="AD21" s="27"/>
      <c r="AE21" s="28"/>
      <c r="AF21" s="28"/>
      <c r="AG21" s="28"/>
      <c r="AH21" s="17">
        <f t="shared" si="12"/>
        <v>0</v>
      </c>
    </row>
    <row r="22" spans="1:34" ht="13">
      <c r="A22" s="43" t="s">
        <v>42</v>
      </c>
      <c r="B22" s="45">
        <v>44951</v>
      </c>
      <c r="C22" s="48" t="s">
        <v>116</v>
      </c>
      <c r="D22" s="49" t="s">
        <v>117</v>
      </c>
      <c r="E22" s="50" t="s">
        <v>118</v>
      </c>
      <c r="F22" s="4">
        <v>119</v>
      </c>
      <c r="G22" s="15">
        <f t="shared" si="8"/>
        <v>1840</v>
      </c>
      <c r="H22" s="9">
        <f>ROUND(PRODUCT(G22/19),0)</f>
        <v>97</v>
      </c>
      <c r="I22" s="9">
        <f>ROUND(PRODUCT(G22/COUNT(F4:F22)),0)</f>
        <v>102</v>
      </c>
      <c r="J22" s="38">
        <v>0.30138888888888887</v>
      </c>
      <c r="K22" s="19">
        <f t="shared" si="5"/>
        <v>4.3222222222222229</v>
      </c>
      <c r="L22" s="42">
        <f t="shared" si="0"/>
        <v>16.5</v>
      </c>
      <c r="M22" s="34">
        <v>27.5</v>
      </c>
      <c r="N22" s="38">
        <v>0.72916666666666663</v>
      </c>
      <c r="O22" s="19">
        <f t="shared" si="6"/>
        <v>6.3715277777777786</v>
      </c>
      <c r="P22" s="42">
        <f t="shared" si="1"/>
        <v>6.8</v>
      </c>
      <c r="Q22" s="19">
        <f t="shared" si="2"/>
        <v>0.42777777777777776</v>
      </c>
      <c r="R22" s="19">
        <f t="shared" si="9"/>
        <v>2.0493055555555553</v>
      </c>
      <c r="S22" s="27">
        <v>100</v>
      </c>
      <c r="T22" s="27">
        <v>120</v>
      </c>
      <c r="U22" s="16">
        <f t="shared" si="10"/>
        <v>20</v>
      </c>
      <c r="V22" s="27">
        <v>20</v>
      </c>
      <c r="W22" s="16">
        <f t="shared" si="7"/>
        <v>3793</v>
      </c>
      <c r="X22" s="9">
        <f t="shared" si="3"/>
        <v>0</v>
      </c>
      <c r="Y22" s="16">
        <f t="shared" si="11"/>
        <v>3698</v>
      </c>
      <c r="Z22" s="16">
        <f t="shared" si="4"/>
        <v>20</v>
      </c>
      <c r="AA22" s="27">
        <v>120</v>
      </c>
      <c r="AB22" s="27"/>
      <c r="AC22" s="28"/>
      <c r="AD22" s="27"/>
      <c r="AE22" s="28"/>
      <c r="AF22" s="28"/>
      <c r="AG22" s="28"/>
      <c r="AH22" s="17">
        <f t="shared" si="12"/>
        <v>0</v>
      </c>
    </row>
    <row r="23" spans="1:34" ht="13">
      <c r="A23" s="43" t="s">
        <v>45</v>
      </c>
      <c r="B23" s="45">
        <v>44952</v>
      </c>
      <c r="C23" s="48" t="s">
        <v>118</v>
      </c>
      <c r="D23" s="49" t="s">
        <v>168</v>
      </c>
      <c r="E23" s="50" t="s">
        <v>119</v>
      </c>
      <c r="F23" s="4">
        <v>9</v>
      </c>
      <c r="G23" s="15">
        <f t="shared" si="8"/>
        <v>1849</v>
      </c>
      <c r="H23" s="9">
        <f>ROUND(PRODUCT(G23/20),0)</f>
        <v>92</v>
      </c>
      <c r="I23" s="9">
        <f>ROUND(PRODUCT(G23/COUNT(F4:F23)),0)</f>
        <v>97</v>
      </c>
      <c r="J23" s="47">
        <v>2.9166666666666664E-2</v>
      </c>
      <c r="K23" s="19">
        <f t="shared" si="5"/>
        <v>4.3513888888888896</v>
      </c>
      <c r="L23" s="42">
        <f t="shared" si="0"/>
        <v>12.9</v>
      </c>
      <c r="M23" s="34">
        <v>18.3</v>
      </c>
      <c r="N23" s="38">
        <v>4.1666666666666664E-2</v>
      </c>
      <c r="O23" s="19">
        <f t="shared" si="6"/>
        <v>6.4131944444444455</v>
      </c>
      <c r="P23" s="42">
        <f t="shared" si="1"/>
        <v>9</v>
      </c>
      <c r="Q23" s="19">
        <f t="shared" si="2"/>
        <v>1.2500000000000001E-2</v>
      </c>
      <c r="R23" s="19">
        <f t="shared" si="9"/>
        <v>2.0618055555555554</v>
      </c>
      <c r="S23" s="27">
        <v>120</v>
      </c>
      <c r="T23" s="27">
        <v>120</v>
      </c>
      <c r="U23" s="16">
        <f t="shared" si="10"/>
        <v>0</v>
      </c>
      <c r="V23" s="27">
        <v>0</v>
      </c>
      <c r="W23" s="16">
        <f t="shared" si="7"/>
        <v>3793</v>
      </c>
      <c r="X23" s="9">
        <f t="shared" si="3"/>
        <v>0</v>
      </c>
      <c r="Y23" s="16">
        <f t="shared" si="11"/>
        <v>3698</v>
      </c>
      <c r="Z23" s="16">
        <f t="shared" si="4"/>
        <v>0</v>
      </c>
      <c r="AA23" s="27">
        <v>120</v>
      </c>
      <c r="AB23" s="27"/>
      <c r="AC23" s="28"/>
      <c r="AD23" s="27"/>
      <c r="AE23" s="28"/>
      <c r="AF23" s="28"/>
      <c r="AG23" s="28"/>
      <c r="AH23" s="17">
        <f t="shared" si="12"/>
        <v>0</v>
      </c>
    </row>
    <row r="24" spans="1:34" ht="13">
      <c r="A24" s="43" t="s">
        <v>46</v>
      </c>
      <c r="B24" s="45">
        <v>44953</v>
      </c>
      <c r="C24" s="48"/>
      <c r="D24" s="49" t="s">
        <v>119</v>
      </c>
      <c r="E24" s="50"/>
      <c r="F24" s="4"/>
      <c r="G24" s="15">
        <f t="shared" si="8"/>
        <v>1849</v>
      </c>
      <c r="H24" s="9">
        <f>ROUND(PRODUCT(G24/21),0)</f>
        <v>88</v>
      </c>
      <c r="I24" s="9">
        <f>ROUND(PRODUCT(G24/COUNT(F4:F24)),0)</f>
        <v>97</v>
      </c>
      <c r="J24" s="38"/>
      <c r="K24" s="19">
        <f t="shared" si="5"/>
        <v>4.3513888888888896</v>
      </c>
      <c r="L24" s="42">
        <f t="shared" si="0"/>
        <v>0</v>
      </c>
      <c r="M24" s="34"/>
      <c r="N24" s="38"/>
      <c r="O24" s="19">
        <f t="shared" si="6"/>
        <v>6.4131944444444455</v>
      </c>
      <c r="P24" s="42">
        <f t="shared" si="1"/>
        <v>0</v>
      </c>
      <c r="Q24" s="19">
        <f t="shared" si="2"/>
        <v>0</v>
      </c>
      <c r="R24" s="19">
        <f t="shared" si="9"/>
        <v>2.0618055555555554</v>
      </c>
      <c r="S24" s="27"/>
      <c r="T24" s="27"/>
      <c r="U24" s="16">
        <f t="shared" si="10"/>
        <v>0</v>
      </c>
      <c r="V24" s="27"/>
      <c r="W24" s="16">
        <f t="shared" si="7"/>
        <v>3793</v>
      </c>
      <c r="X24" s="9">
        <f t="shared" si="3"/>
        <v>0</v>
      </c>
      <c r="Y24" s="16">
        <f t="shared" si="11"/>
        <v>3698</v>
      </c>
      <c r="Z24" s="16">
        <f t="shared" si="4"/>
        <v>0</v>
      </c>
      <c r="AA24" s="27"/>
      <c r="AB24" s="27"/>
      <c r="AC24" s="28"/>
      <c r="AD24" s="27"/>
      <c r="AE24" s="28"/>
      <c r="AF24" s="28"/>
      <c r="AG24" s="28"/>
      <c r="AH24" s="17">
        <f t="shared" si="12"/>
        <v>0</v>
      </c>
    </row>
    <row r="25" spans="1:34" ht="13">
      <c r="A25" s="43" t="s">
        <v>47</v>
      </c>
      <c r="B25" s="45">
        <v>44954</v>
      </c>
      <c r="C25" s="48"/>
      <c r="D25" s="49" t="s">
        <v>119</v>
      </c>
      <c r="E25" s="50"/>
      <c r="F25" s="4"/>
      <c r="G25" s="15">
        <f t="shared" si="8"/>
        <v>1849</v>
      </c>
      <c r="H25" s="9">
        <f>ROUND(PRODUCT(G25/22),0)</f>
        <v>84</v>
      </c>
      <c r="I25" s="9">
        <f>ROUND(PRODUCT(G25/COUNT(F4:F25)),0)</f>
        <v>97</v>
      </c>
      <c r="J25" s="38"/>
      <c r="K25" s="19">
        <f t="shared" si="5"/>
        <v>4.3513888888888896</v>
      </c>
      <c r="L25" s="42">
        <f t="shared" si="0"/>
        <v>0</v>
      </c>
      <c r="M25" s="34"/>
      <c r="N25" s="38"/>
      <c r="O25" s="19">
        <f t="shared" si="6"/>
        <v>6.4131944444444455</v>
      </c>
      <c r="P25" s="42">
        <f t="shared" si="1"/>
        <v>0</v>
      </c>
      <c r="Q25" s="19">
        <f t="shared" si="2"/>
        <v>0</v>
      </c>
      <c r="R25" s="19">
        <f t="shared" si="9"/>
        <v>2.0618055555555554</v>
      </c>
      <c r="S25" s="27"/>
      <c r="T25" s="27"/>
      <c r="U25" s="16">
        <f t="shared" si="10"/>
        <v>0</v>
      </c>
      <c r="V25" s="27"/>
      <c r="W25" s="16">
        <f t="shared" si="7"/>
        <v>3793</v>
      </c>
      <c r="X25" s="9">
        <f t="shared" si="3"/>
        <v>0</v>
      </c>
      <c r="Y25" s="16">
        <f t="shared" si="11"/>
        <v>3698</v>
      </c>
      <c r="Z25" s="16">
        <f t="shared" si="4"/>
        <v>0</v>
      </c>
      <c r="AA25" s="27"/>
      <c r="AB25" s="27"/>
      <c r="AC25" s="28"/>
      <c r="AD25" s="27"/>
      <c r="AE25" s="28"/>
      <c r="AF25" s="28"/>
      <c r="AG25" s="28"/>
      <c r="AH25" s="17">
        <f t="shared" si="12"/>
        <v>0</v>
      </c>
    </row>
    <row r="26" spans="1:34" ht="13">
      <c r="A26" s="43" t="s">
        <v>48</v>
      </c>
      <c r="B26" s="45">
        <v>44955</v>
      </c>
      <c r="C26" s="48"/>
      <c r="D26" s="49" t="s">
        <v>119</v>
      </c>
      <c r="E26" s="50"/>
      <c r="F26" s="4"/>
      <c r="G26" s="15">
        <f t="shared" si="8"/>
        <v>1849</v>
      </c>
      <c r="H26" s="9">
        <f>ROUND(PRODUCT(G26/23),0)</f>
        <v>80</v>
      </c>
      <c r="I26" s="9">
        <f>ROUND(PRODUCT(G26/COUNT(F4:F26)),0)</f>
        <v>97</v>
      </c>
      <c r="J26" s="38"/>
      <c r="K26" s="19">
        <f t="shared" si="5"/>
        <v>4.3513888888888896</v>
      </c>
      <c r="L26" s="42">
        <f t="shared" si="0"/>
        <v>0</v>
      </c>
      <c r="M26" s="34"/>
      <c r="N26" s="38"/>
      <c r="O26" s="19">
        <f t="shared" si="6"/>
        <v>6.4131944444444455</v>
      </c>
      <c r="P26" s="42">
        <f t="shared" si="1"/>
        <v>0</v>
      </c>
      <c r="Q26" s="19">
        <f t="shared" si="2"/>
        <v>0</v>
      </c>
      <c r="R26" s="19">
        <f t="shared" si="9"/>
        <v>2.0618055555555554</v>
      </c>
      <c r="S26" s="27"/>
      <c r="T26" s="27"/>
      <c r="U26" s="16">
        <f t="shared" si="10"/>
        <v>0</v>
      </c>
      <c r="V26" s="27"/>
      <c r="W26" s="16">
        <f t="shared" si="7"/>
        <v>3793</v>
      </c>
      <c r="X26" s="9">
        <f t="shared" si="3"/>
        <v>0</v>
      </c>
      <c r="Y26" s="16">
        <f t="shared" si="11"/>
        <v>3698</v>
      </c>
      <c r="Z26" s="16">
        <f t="shared" si="4"/>
        <v>0</v>
      </c>
      <c r="AA26" s="27"/>
      <c r="AB26" s="27"/>
      <c r="AC26" s="28"/>
      <c r="AD26" s="27"/>
      <c r="AE26" s="28"/>
      <c r="AF26" s="28"/>
      <c r="AG26" s="28"/>
      <c r="AH26" s="17">
        <f t="shared" si="12"/>
        <v>0</v>
      </c>
    </row>
    <row r="27" spans="1:34" ht="13">
      <c r="A27" s="43" t="s">
        <v>49</v>
      </c>
      <c r="B27" s="45">
        <v>44956</v>
      </c>
      <c r="C27" s="48" t="s">
        <v>119</v>
      </c>
      <c r="D27" s="49"/>
      <c r="E27" s="50" t="s">
        <v>120</v>
      </c>
      <c r="F27" s="4">
        <v>94</v>
      </c>
      <c r="G27" s="15">
        <f t="shared" si="8"/>
        <v>1943</v>
      </c>
      <c r="H27" s="9">
        <f>ROUND(PRODUCT(G27/24),0)</f>
        <v>81</v>
      </c>
      <c r="I27" s="9">
        <f>ROUND(PRODUCT(G27/COUNT(F4:F27)),0)</f>
        <v>97</v>
      </c>
      <c r="J27" s="38">
        <v>0.21527777777777779</v>
      </c>
      <c r="K27" s="19">
        <f t="shared" si="5"/>
        <v>4.5666666666666673</v>
      </c>
      <c r="L27" s="42">
        <f t="shared" si="0"/>
        <v>18.2</v>
      </c>
      <c r="M27" s="34">
        <v>27.4</v>
      </c>
      <c r="N27" s="38">
        <v>0.25</v>
      </c>
      <c r="O27" s="19">
        <f t="shared" si="6"/>
        <v>6.6631944444444455</v>
      </c>
      <c r="P27" s="42">
        <f t="shared" si="1"/>
        <v>15.7</v>
      </c>
      <c r="Q27" s="19">
        <f t="shared" si="2"/>
        <v>3.472222222222221E-2</v>
      </c>
      <c r="R27" s="19">
        <f t="shared" si="9"/>
        <v>2.0965277777777778</v>
      </c>
      <c r="S27" s="27">
        <v>140</v>
      </c>
      <c r="T27" s="27">
        <v>160</v>
      </c>
      <c r="U27" s="16">
        <f t="shared" si="10"/>
        <v>20</v>
      </c>
      <c r="V27" s="27">
        <v>40</v>
      </c>
      <c r="W27" s="16">
        <f t="shared" si="7"/>
        <v>3833</v>
      </c>
      <c r="X27" s="9">
        <f t="shared" si="3"/>
        <v>20</v>
      </c>
      <c r="Y27" s="16">
        <f t="shared" si="11"/>
        <v>3718</v>
      </c>
      <c r="Z27" s="16">
        <f t="shared" si="4"/>
        <v>20</v>
      </c>
      <c r="AA27" s="27">
        <v>160</v>
      </c>
      <c r="AB27" s="27"/>
      <c r="AC27" s="28"/>
      <c r="AD27" s="27"/>
      <c r="AE27" s="28"/>
      <c r="AF27" s="28"/>
      <c r="AG27" s="28"/>
      <c r="AH27" s="17">
        <f t="shared" si="12"/>
        <v>0</v>
      </c>
    </row>
    <row r="28" spans="1:34" ht="13">
      <c r="A28" s="43" t="s">
        <v>50</v>
      </c>
      <c r="B28" s="45">
        <v>44957</v>
      </c>
      <c r="C28" s="48" t="s">
        <v>120</v>
      </c>
      <c r="D28" s="49"/>
      <c r="E28" s="50" t="s">
        <v>121</v>
      </c>
      <c r="F28" s="4">
        <v>123</v>
      </c>
      <c r="G28" s="15">
        <f t="shared" si="8"/>
        <v>2066</v>
      </c>
      <c r="H28" s="9">
        <f>ROUND(PRODUCT(G28/25),0)</f>
        <v>83</v>
      </c>
      <c r="I28" s="9">
        <f>ROUND(PRODUCT(G28/COUNT(F4:F28)),0)</f>
        <v>98</v>
      </c>
      <c r="J28" s="38">
        <v>0.29166666666666669</v>
      </c>
      <c r="K28" s="19">
        <f t="shared" si="5"/>
        <v>4.8583333333333343</v>
      </c>
      <c r="L28" s="42">
        <f t="shared" si="0"/>
        <v>17.600000000000001</v>
      </c>
      <c r="M28" s="34">
        <v>23.1</v>
      </c>
      <c r="N28" s="38">
        <v>0.33333333333333331</v>
      </c>
      <c r="O28" s="19">
        <f t="shared" si="6"/>
        <v>6.9965277777777786</v>
      </c>
      <c r="P28" s="42">
        <f t="shared" si="1"/>
        <v>15.4</v>
      </c>
      <c r="Q28" s="19">
        <f t="shared" si="2"/>
        <v>4.166666666666663E-2</v>
      </c>
      <c r="R28" s="19">
        <f t="shared" si="9"/>
        <v>2.1381944444444443</v>
      </c>
      <c r="S28" s="27">
        <v>160</v>
      </c>
      <c r="T28" s="27">
        <v>230</v>
      </c>
      <c r="U28" s="16">
        <f t="shared" si="10"/>
        <v>70</v>
      </c>
      <c r="V28" s="27">
        <v>70</v>
      </c>
      <c r="W28" s="16">
        <f t="shared" si="7"/>
        <v>3903</v>
      </c>
      <c r="X28" s="9">
        <f t="shared" si="3"/>
        <v>0</v>
      </c>
      <c r="Y28" s="16">
        <f t="shared" si="11"/>
        <v>3718</v>
      </c>
      <c r="Z28" s="16">
        <f t="shared" si="4"/>
        <v>70</v>
      </c>
      <c r="AA28" s="27">
        <v>230</v>
      </c>
      <c r="AB28" s="27"/>
      <c r="AC28" s="28"/>
      <c r="AD28" s="27"/>
      <c r="AE28" s="28"/>
      <c r="AF28" s="28"/>
      <c r="AG28" s="28"/>
      <c r="AH28" s="17">
        <f t="shared" si="12"/>
        <v>0</v>
      </c>
    </row>
    <row r="29" spans="1:34" ht="13">
      <c r="A29" s="43" t="s">
        <v>51</v>
      </c>
      <c r="B29" s="45">
        <v>44958</v>
      </c>
      <c r="C29" s="48" t="s">
        <v>121</v>
      </c>
      <c r="D29" s="49" t="s">
        <v>122</v>
      </c>
      <c r="E29" s="50" t="s">
        <v>123</v>
      </c>
      <c r="F29" s="4">
        <v>152</v>
      </c>
      <c r="G29" s="15">
        <f t="shared" si="8"/>
        <v>2218</v>
      </c>
      <c r="H29" s="9">
        <f>ROUND(PRODUCT(G29/26),0)</f>
        <v>85</v>
      </c>
      <c r="I29" s="9">
        <f>ROUND(PRODUCT(G29/COUNT(F4:F29)),0)</f>
        <v>101</v>
      </c>
      <c r="J29" s="38">
        <v>0.34791666666666665</v>
      </c>
      <c r="K29" s="19">
        <f t="shared" si="5"/>
        <v>5.2062500000000007</v>
      </c>
      <c r="L29" s="42">
        <f t="shared" si="0"/>
        <v>18.2</v>
      </c>
      <c r="M29" s="34">
        <v>24.7</v>
      </c>
      <c r="N29" s="38">
        <v>0.58333333333333337</v>
      </c>
      <c r="O29" s="19">
        <f t="shared" si="6"/>
        <v>7.5798611111111116</v>
      </c>
      <c r="P29" s="42">
        <f t="shared" si="1"/>
        <v>10.9</v>
      </c>
      <c r="Q29" s="19">
        <f t="shared" si="2"/>
        <v>0.23541666666666672</v>
      </c>
      <c r="R29" s="19">
        <f t="shared" si="9"/>
        <v>2.3736111111111109</v>
      </c>
      <c r="S29" s="27">
        <v>230</v>
      </c>
      <c r="T29" s="27">
        <v>300</v>
      </c>
      <c r="U29" s="16">
        <f t="shared" si="10"/>
        <v>70</v>
      </c>
      <c r="V29" s="27">
        <v>70</v>
      </c>
      <c r="W29" s="16">
        <f t="shared" si="7"/>
        <v>3973</v>
      </c>
      <c r="X29" s="9">
        <f t="shared" si="3"/>
        <v>0</v>
      </c>
      <c r="Y29" s="16">
        <f t="shared" si="11"/>
        <v>3718</v>
      </c>
      <c r="Z29" s="16">
        <f t="shared" si="4"/>
        <v>70</v>
      </c>
      <c r="AA29" s="27">
        <v>300</v>
      </c>
      <c r="AB29" s="27"/>
      <c r="AC29" s="28"/>
      <c r="AD29" s="27"/>
      <c r="AE29" s="28"/>
      <c r="AF29" s="28"/>
      <c r="AG29" s="28"/>
      <c r="AH29" s="17">
        <f t="shared" si="12"/>
        <v>0</v>
      </c>
    </row>
    <row r="30" spans="1:34" ht="13">
      <c r="A30" s="43" t="s">
        <v>52</v>
      </c>
      <c r="B30" s="45">
        <v>44959</v>
      </c>
      <c r="C30" s="48" t="s">
        <v>123</v>
      </c>
      <c r="D30" s="49" t="s">
        <v>124</v>
      </c>
      <c r="E30" s="50" t="s">
        <v>125</v>
      </c>
      <c r="F30" s="4">
        <v>82</v>
      </c>
      <c r="G30" s="15">
        <f t="shared" si="8"/>
        <v>2300</v>
      </c>
      <c r="H30" s="9">
        <f>ROUND(PRODUCT(G30/27),0)</f>
        <v>85</v>
      </c>
      <c r="I30" s="9">
        <f>ROUND(PRODUCT(G30/COUNT(F4:F30)),0)</f>
        <v>100</v>
      </c>
      <c r="J30" s="38">
        <v>0.20694444444444446</v>
      </c>
      <c r="K30" s="19">
        <f t="shared" si="5"/>
        <v>5.4131944444444455</v>
      </c>
      <c r="L30" s="42">
        <f t="shared" si="0"/>
        <v>16.5</v>
      </c>
      <c r="M30" s="34">
        <v>45</v>
      </c>
      <c r="N30" s="38">
        <v>0.25</v>
      </c>
      <c r="O30" s="19">
        <f t="shared" si="6"/>
        <v>7.8298611111111116</v>
      </c>
      <c r="P30" s="42">
        <f t="shared" si="1"/>
        <v>13.7</v>
      </c>
      <c r="Q30" s="19">
        <f t="shared" si="2"/>
        <v>4.3055555555555541E-2</v>
      </c>
      <c r="R30" s="19">
        <f t="shared" si="9"/>
        <v>2.4166666666666665</v>
      </c>
      <c r="S30" s="27">
        <v>300</v>
      </c>
      <c r="T30" s="27">
        <v>440</v>
      </c>
      <c r="U30" s="16">
        <f t="shared" si="10"/>
        <v>140</v>
      </c>
      <c r="V30" s="27">
        <v>350</v>
      </c>
      <c r="W30" s="16">
        <f t="shared" si="7"/>
        <v>4323</v>
      </c>
      <c r="X30" s="9">
        <f t="shared" si="3"/>
        <v>210</v>
      </c>
      <c r="Y30" s="16">
        <f t="shared" si="11"/>
        <v>3928</v>
      </c>
      <c r="Z30" s="16">
        <f t="shared" si="4"/>
        <v>140</v>
      </c>
      <c r="AA30" s="27">
        <v>440</v>
      </c>
      <c r="AB30" s="27"/>
      <c r="AC30" s="28"/>
      <c r="AD30" s="27"/>
      <c r="AE30" s="28"/>
      <c r="AF30" s="28"/>
      <c r="AG30" s="28"/>
      <c r="AH30" s="17">
        <f t="shared" si="12"/>
        <v>0</v>
      </c>
    </row>
    <row r="31" spans="1:34" ht="13">
      <c r="A31" s="43" t="s">
        <v>53</v>
      </c>
      <c r="B31" s="45">
        <v>44960</v>
      </c>
      <c r="C31" s="48" t="s">
        <v>125</v>
      </c>
      <c r="D31" s="49" t="s">
        <v>126</v>
      </c>
      <c r="E31" s="50" t="s">
        <v>127</v>
      </c>
      <c r="F31" s="4">
        <v>69</v>
      </c>
      <c r="G31" s="15">
        <f t="shared" si="8"/>
        <v>2369</v>
      </c>
      <c r="H31" s="9">
        <f>ROUND(PRODUCT(G31/28),0)</f>
        <v>85</v>
      </c>
      <c r="I31" s="9">
        <f>ROUND(PRODUCT(G31/COUNT(F4:F31)),0)</f>
        <v>99</v>
      </c>
      <c r="J31" s="38">
        <v>0.26250000000000001</v>
      </c>
      <c r="K31" s="19">
        <f t="shared" si="5"/>
        <v>5.6756944444444457</v>
      </c>
      <c r="L31" s="42">
        <f t="shared" si="0"/>
        <v>11</v>
      </c>
      <c r="M31" s="34">
        <v>60.5</v>
      </c>
      <c r="N31" s="38">
        <v>0.3125</v>
      </c>
      <c r="O31" s="19">
        <f t="shared" si="6"/>
        <v>8.1423611111111107</v>
      </c>
      <c r="P31" s="42">
        <f t="shared" si="1"/>
        <v>9.1999999999999993</v>
      </c>
      <c r="Q31" s="19">
        <f t="shared" si="2"/>
        <v>4.9999999999999989E-2</v>
      </c>
      <c r="R31" s="19">
        <f t="shared" si="9"/>
        <v>2.4666666666666663</v>
      </c>
      <c r="S31" s="27">
        <v>440</v>
      </c>
      <c r="T31" s="27">
        <v>719</v>
      </c>
      <c r="U31" s="16">
        <f t="shared" si="10"/>
        <v>279</v>
      </c>
      <c r="V31" s="27">
        <v>1100</v>
      </c>
      <c r="W31" s="16">
        <f t="shared" si="7"/>
        <v>5423</v>
      </c>
      <c r="X31" s="9">
        <f t="shared" si="3"/>
        <v>821</v>
      </c>
      <c r="Y31" s="16">
        <f t="shared" si="11"/>
        <v>4749</v>
      </c>
      <c r="Z31" s="16">
        <f t="shared" si="4"/>
        <v>279</v>
      </c>
      <c r="AA31" s="27">
        <v>990</v>
      </c>
      <c r="AB31" s="27"/>
      <c r="AC31" s="28"/>
      <c r="AD31" s="27"/>
      <c r="AE31" s="28"/>
      <c r="AF31" s="28"/>
      <c r="AG31" s="28"/>
      <c r="AH31" s="17">
        <f t="shared" si="12"/>
        <v>0</v>
      </c>
    </row>
    <row r="32" spans="1:34" ht="13">
      <c r="A32" s="43" t="s">
        <v>54</v>
      </c>
      <c r="B32" s="45">
        <v>44961</v>
      </c>
      <c r="C32" s="48" t="s">
        <v>127</v>
      </c>
      <c r="D32" s="49" t="s">
        <v>128</v>
      </c>
      <c r="E32" s="50" t="s">
        <v>129</v>
      </c>
      <c r="F32" s="4">
        <v>63</v>
      </c>
      <c r="G32" s="15">
        <f t="shared" ref="G32:G58" si="13">SUM(G31,F32)</f>
        <v>2432</v>
      </c>
      <c r="H32" s="9">
        <f>ROUND(PRODUCT(G32/29),0)</f>
        <v>84</v>
      </c>
      <c r="I32" s="9">
        <f>ROUND(PRODUCT(G32/COUNT(F4:F32)),0)</f>
        <v>97</v>
      </c>
      <c r="J32" s="38">
        <v>0.26874999999999999</v>
      </c>
      <c r="K32" s="19">
        <f t="shared" ref="K32:K58" si="14">SUM(J32,K31)</f>
        <v>5.9444444444444455</v>
      </c>
      <c r="L32" s="42">
        <f t="shared" ref="L32:L58" si="15">IF(F32=0,0,ROUND(PRODUCT(F32/SUM(HOUR(J32),PRODUCT(MINUTE(J32)/60))),1))</f>
        <v>9.8000000000000007</v>
      </c>
      <c r="M32" s="34">
        <v>64.5</v>
      </c>
      <c r="N32" s="38">
        <v>0.34375</v>
      </c>
      <c r="O32" s="19">
        <f t="shared" ref="O32:O58" si="16">SUM(N32,O31)</f>
        <v>8.4861111111111107</v>
      </c>
      <c r="P32" s="42">
        <f t="shared" ref="P32:P58" si="17">IF(F32=0,0,ROUND(PRODUCT(F32/SUM(HOUR(N32),PRODUCT(MINUTE(N32)/60))),1))</f>
        <v>7.6</v>
      </c>
      <c r="Q32" s="19">
        <f t="shared" ref="Q32:Q58" si="18">SUM(N32,-J32)</f>
        <v>7.5000000000000011E-2</v>
      </c>
      <c r="R32" s="19">
        <f t="shared" ref="R32:R58" si="19">SUM(Q32,R31)</f>
        <v>2.5416666666666665</v>
      </c>
      <c r="S32" s="27">
        <v>719</v>
      </c>
      <c r="T32" s="27">
        <v>1250</v>
      </c>
      <c r="U32" s="16">
        <f t="shared" ref="U32:U58" si="20">SUM(-S32,T32)</f>
        <v>531</v>
      </c>
      <c r="V32" s="27">
        <v>2055</v>
      </c>
      <c r="W32" s="16">
        <f t="shared" ref="W32:W58" si="21">SUM(W31,V32)</f>
        <v>7478</v>
      </c>
      <c r="X32" s="9">
        <f t="shared" ref="X32:X58" si="22">SUM(S32,-T32,V32)</f>
        <v>1524</v>
      </c>
      <c r="Y32" s="16">
        <f t="shared" ref="Y32:Y58" si="23">SUM(Y31,X32)</f>
        <v>6273</v>
      </c>
      <c r="Z32" s="16">
        <f t="shared" ref="Z32:Z58" si="24">SUM(V32,-X32)</f>
        <v>531</v>
      </c>
      <c r="AA32" s="27">
        <v>1470</v>
      </c>
      <c r="AB32" s="27"/>
      <c r="AC32" s="28"/>
      <c r="AD32" s="27"/>
      <c r="AE32" s="28"/>
      <c r="AF32" s="28"/>
      <c r="AG32" s="28"/>
      <c r="AH32" s="17">
        <f t="shared" ref="AH32:AH58" si="25">SUM(AG32,-AF32)</f>
        <v>0</v>
      </c>
    </row>
    <row r="33" spans="1:34" ht="13">
      <c r="A33" s="43" t="s">
        <v>55</v>
      </c>
      <c r="B33" s="45">
        <v>44962</v>
      </c>
      <c r="C33" s="48" t="s">
        <v>129</v>
      </c>
      <c r="D33" s="49" t="s">
        <v>130</v>
      </c>
      <c r="E33" s="50" t="s">
        <v>131</v>
      </c>
      <c r="F33" s="4">
        <v>82</v>
      </c>
      <c r="G33" s="15">
        <f t="shared" si="13"/>
        <v>2514</v>
      </c>
      <c r="H33" s="9">
        <f>ROUND(PRODUCT(G33/30),0)</f>
        <v>84</v>
      </c>
      <c r="I33" s="9">
        <f>ROUND(PRODUCT(G33/COUNT(F4:F33)),0)</f>
        <v>97</v>
      </c>
      <c r="J33" s="38">
        <v>0.3</v>
      </c>
      <c r="K33" s="19">
        <f t="shared" si="14"/>
        <v>6.2444444444444454</v>
      </c>
      <c r="L33" s="42">
        <f t="shared" si="15"/>
        <v>11.4</v>
      </c>
      <c r="M33" s="34">
        <v>65.8</v>
      </c>
      <c r="N33" s="38">
        <v>0.36458333333333331</v>
      </c>
      <c r="O33" s="19">
        <f t="shared" si="16"/>
        <v>8.8506944444444446</v>
      </c>
      <c r="P33" s="42">
        <f t="shared" si="17"/>
        <v>9.4</v>
      </c>
      <c r="Q33" s="19">
        <f t="shared" si="18"/>
        <v>6.4583333333333326E-2</v>
      </c>
      <c r="R33" s="19">
        <f t="shared" si="19"/>
        <v>2.6062499999999997</v>
      </c>
      <c r="S33" s="27">
        <v>1250</v>
      </c>
      <c r="T33" s="27">
        <v>1860</v>
      </c>
      <c r="U33" s="16">
        <f t="shared" si="20"/>
        <v>610</v>
      </c>
      <c r="V33" s="27">
        <v>1910</v>
      </c>
      <c r="W33" s="16">
        <f t="shared" si="21"/>
        <v>9388</v>
      </c>
      <c r="X33" s="9">
        <f t="shared" si="22"/>
        <v>1300</v>
      </c>
      <c r="Y33" s="16">
        <f t="shared" si="23"/>
        <v>7573</v>
      </c>
      <c r="Z33" s="16">
        <f t="shared" si="24"/>
        <v>610</v>
      </c>
      <c r="AA33" s="27">
        <v>2634</v>
      </c>
      <c r="AB33" s="27"/>
      <c r="AC33" s="28"/>
      <c r="AD33" s="27"/>
      <c r="AE33" s="28"/>
      <c r="AF33" s="28"/>
      <c r="AG33" s="28"/>
      <c r="AH33" s="17">
        <f t="shared" si="25"/>
        <v>0</v>
      </c>
    </row>
    <row r="34" spans="1:34" ht="13">
      <c r="A34" s="43" t="s">
        <v>56</v>
      </c>
      <c r="B34" s="45">
        <v>44963</v>
      </c>
      <c r="C34" s="48"/>
      <c r="D34" s="49" t="s">
        <v>131</v>
      </c>
      <c r="E34" s="50"/>
      <c r="F34" s="4"/>
      <c r="G34" s="15">
        <f t="shared" si="13"/>
        <v>2514</v>
      </c>
      <c r="H34" s="9">
        <f>ROUND(PRODUCT(G34/31),0)</f>
        <v>81</v>
      </c>
      <c r="I34" s="9">
        <f>ROUND(PRODUCT(G34/COUNT(F4:F34)),0)</f>
        <v>97</v>
      </c>
      <c r="J34" s="38"/>
      <c r="K34" s="19">
        <f t="shared" si="14"/>
        <v>6.2444444444444454</v>
      </c>
      <c r="L34" s="42">
        <f t="shared" si="15"/>
        <v>0</v>
      </c>
      <c r="M34" s="34"/>
      <c r="N34" s="38"/>
      <c r="O34" s="19">
        <f t="shared" si="16"/>
        <v>8.8506944444444446</v>
      </c>
      <c r="P34" s="42">
        <f t="shared" si="17"/>
        <v>0</v>
      </c>
      <c r="Q34" s="19">
        <f t="shared" si="18"/>
        <v>0</v>
      </c>
      <c r="R34" s="19">
        <f t="shared" si="19"/>
        <v>2.6062499999999997</v>
      </c>
      <c r="S34" s="27"/>
      <c r="T34" s="27"/>
      <c r="U34" s="16">
        <f t="shared" si="20"/>
        <v>0</v>
      </c>
      <c r="V34" s="27"/>
      <c r="W34" s="16">
        <f t="shared" si="21"/>
        <v>9388</v>
      </c>
      <c r="X34" s="9">
        <f t="shared" si="22"/>
        <v>0</v>
      </c>
      <c r="Y34" s="16">
        <f t="shared" si="23"/>
        <v>7573</v>
      </c>
      <c r="Z34" s="16">
        <f t="shared" si="24"/>
        <v>0</v>
      </c>
      <c r="AA34" s="27"/>
      <c r="AB34" s="27"/>
      <c r="AC34" s="28"/>
      <c r="AD34" s="27"/>
      <c r="AE34" s="28"/>
      <c r="AF34" s="28"/>
      <c r="AG34" s="28"/>
      <c r="AH34" s="17">
        <f t="shared" si="25"/>
        <v>0</v>
      </c>
    </row>
    <row r="35" spans="1:34" ht="13">
      <c r="A35" s="43" t="s">
        <v>57</v>
      </c>
      <c r="B35" s="45">
        <v>44964</v>
      </c>
      <c r="C35" s="48" t="s">
        <v>131</v>
      </c>
      <c r="D35" s="49" t="s">
        <v>170</v>
      </c>
      <c r="E35" s="50" t="s">
        <v>132</v>
      </c>
      <c r="F35" s="4">
        <v>99</v>
      </c>
      <c r="G35" s="15">
        <f t="shared" si="13"/>
        <v>2613</v>
      </c>
      <c r="H35" s="9">
        <f>ROUND(PRODUCT(G35/32),0)</f>
        <v>82</v>
      </c>
      <c r="I35" s="9">
        <f>ROUND(PRODUCT(G35/COUNT(F4:F35)),0)</f>
        <v>97</v>
      </c>
      <c r="J35" s="38">
        <v>0.36249999999999999</v>
      </c>
      <c r="K35" s="19">
        <f t="shared" si="14"/>
        <v>6.6069444444444452</v>
      </c>
      <c r="L35" s="42">
        <f t="shared" si="15"/>
        <v>11.4</v>
      </c>
      <c r="M35" s="34">
        <v>62.6</v>
      </c>
      <c r="N35" s="38">
        <v>0.47916666666666669</v>
      </c>
      <c r="O35" s="19">
        <f t="shared" si="16"/>
        <v>9.3298611111111107</v>
      </c>
      <c r="P35" s="42">
        <f t="shared" si="17"/>
        <v>8.6</v>
      </c>
      <c r="Q35" s="19">
        <f t="shared" si="18"/>
        <v>0.1166666666666667</v>
      </c>
      <c r="R35" s="19">
        <f t="shared" si="19"/>
        <v>2.7229166666666664</v>
      </c>
      <c r="S35" s="27">
        <v>1860</v>
      </c>
      <c r="T35" s="27">
        <v>2330</v>
      </c>
      <c r="U35" s="16">
        <f t="shared" si="20"/>
        <v>470</v>
      </c>
      <c r="V35" s="27">
        <v>1935</v>
      </c>
      <c r="W35" s="16">
        <f t="shared" si="21"/>
        <v>11323</v>
      </c>
      <c r="X35" s="9">
        <f t="shared" si="22"/>
        <v>1465</v>
      </c>
      <c r="Y35" s="16">
        <f t="shared" si="23"/>
        <v>9038</v>
      </c>
      <c r="Z35" s="16">
        <f t="shared" si="24"/>
        <v>470</v>
      </c>
      <c r="AA35" s="27">
        <v>3490</v>
      </c>
      <c r="AB35" s="27"/>
      <c r="AC35" s="28"/>
      <c r="AD35" s="27"/>
      <c r="AE35" s="28"/>
      <c r="AF35" s="28"/>
      <c r="AG35" s="28"/>
      <c r="AH35" s="17">
        <f t="shared" si="25"/>
        <v>0</v>
      </c>
    </row>
    <row r="36" spans="1:34" ht="13">
      <c r="A36" s="43" t="s">
        <v>58</v>
      </c>
      <c r="B36" s="45">
        <v>44965</v>
      </c>
      <c r="C36" s="48" t="s">
        <v>132</v>
      </c>
      <c r="D36" s="49" t="s">
        <v>133</v>
      </c>
      <c r="E36" s="50" t="s">
        <v>134</v>
      </c>
      <c r="F36" s="4">
        <v>42</v>
      </c>
      <c r="G36" s="15">
        <f t="shared" si="13"/>
        <v>2655</v>
      </c>
      <c r="H36" s="9">
        <f>ROUND(PRODUCT(G36/33),0)</f>
        <v>80</v>
      </c>
      <c r="I36" s="9">
        <f>ROUND(PRODUCT(G36/COUNT(F4:F36)),0)</f>
        <v>95</v>
      </c>
      <c r="J36" s="38">
        <v>0.24166666666666667</v>
      </c>
      <c r="K36" s="19">
        <f t="shared" si="14"/>
        <v>6.8486111111111114</v>
      </c>
      <c r="L36" s="42">
        <f t="shared" si="15"/>
        <v>7.2</v>
      </c>
      <c r="M36" s="34">
        <v>38.6</v>
      </c>
      <c r="N36" s="38">
        <v>0.35416666666666669</v>
      </c>
      <c r="O36" s="19">
        <f t="shared" si="16"/>
        <v>9.6840277777777768</v>
      </c>
      <c r="P36" s="42">
        <f t="shared" si="17"/>
        <v>4.9000000000000004</v>
      </c>
      <c r="Q36" s="19">
        <f t="shared" si="18"/>
        <v>0.11250000000000002</v>
      </c>
      <c r="R36" s="19">
        <f t="shared" si="19"/>
        <v>2.8354166666666663</v>
      </c>
      <c r="S36" s="27">
        <v>2330</v>
      </c>
      <c r="T36" s="27">
        <v>3570</v>
      </c>
      <c r="U36" s="16">
        <f t="shared" si="20"/>
        <v>1240</v>
      </c>
      <c r="V36" s="27">
        <v>1365</v>
      </c>
      <c r="W36" s="16">
        <f t="shared" si="21"/>
        <v>12688</v>
      </c>
      <c r="X36" s="9">
        <f t="shared" si="22"/>
        <v>125</v>
      </c>
      <c r="Y36" s="16">
        <f t="shared" si="23"/>
        <v>9163</v>
      </c>
      <c r="Z36" s="16">
        <f t="shared" si="24"/>
        <v>1240</v>
      </c>
      <c r="AA36" s="27">
        <v>3570</v>
      </c>
      <c r="AB36" s="27"/>
      <c r="AC36" s="28"/>
      <c r="AD36" s="27"/>
      <c r="AE36" s="28"/>
      <c r="AF36" s="28"/>
      <c r="AG36" s="28"/>
      <c r="AH36" s="17">
        <f t="shared" si="25"/>
        <v>0</v>
      </c>
    </row>
    <row r="37" spans="1:34" ht="13">
      <c r="A37" s="43" t="s">
        <v>59</v>
      </c>
      <c r="B37" s="45">
        <v>44966</v>
      </c>
      <c r="C37" s="48" t="s">
        <v>134</v>
      </c>
      <c r="D37" s="49" t="s">
        <v>135</v>
      </c>
      <c r="E37" s="50" t="s">
        <v>136</v>
      </c>
      <c r="F37" s="4">
        <v>76</v>
      </c>
      <c r="G37" s="15">
        <f t="shared" si="13"/>
        <v>2731</v>
      </c>
      <c r="H37" s="9">
        <f>ROUND(PRODUCT(G37/34),0)</f>
        <v>80</v>
      </c>
      <c r="I37" s="9">
        <f>ROUND(PRODUCT(G37/COUNT(F4:F37)),0)</f>
        <v>94</v>
      </c>
      <c r="J37" s="38">
        <v>0.28194444444444444</v>
      </c>
      <c r="K37" s="19">
        <f t="shared" si="14"/>
        <v>7.1305555555555555</v>
      </c>
      <c r="L37" s="42">
        <f t="shared" si="15"/>
        <v>11.2</v>
      </c>
      <c r="M37" s="34">
        <v>63.6</v>
      </c>
      <c r="N37" s="38">
        <v>0.42708333333333331</v>
      </c>
      <c r="O37" s="19">
        <f t="shared" si="16"/>
        <v>10.111111111111111</v>
      </c>
      <c r="P37" s="42">
        <f t="shared" si="17"/>
        <v>7.4</v>
      </c>
      <c r="Q37" s="19">
        <f t="shared" si="18"/>
        <v>0.14513888888888887</v>
      </c>
      <c r="R37" s="19">
        <f t="shared" si="19"/>
        <v>2.9805555555555552</v>
      </c>
      <c r="S37" s="27">
        <v>3570</v>
      </c>
      <c r="T37" s="27">
        <v>2950</v>
      </c>
      <c r="U37" s="16">
        <f t="shared" si="20"/>
        <v>-620</v>
      </c>
      <c r="V37" s="27">
        <v>1100</v>
      </c>
      <c r="W37" s="16">
        <f t="shared" si="21"/>
        <v>13788</v>
      </c>
      <c r="X37" s="9">
        <f t="shared" si="22"/>
        <v>1720</v>
      </c>
      <c r="Y37" s="16">
        <f t="shared" si="23"/>
        <v>10883</v>
      </c>
      <c r="Z37" s="16">
        <f t="shared" si="24"/>
        <v>-620</v>
      </c>
      <c r="AA37" s="27">
        <v>4250</v>
      </c>
      <c r="AB37" s="27"/>
      <c r="AC37" s="28"/>
      <c r="AD37" s="27"/>
      <c r="AE37" s="28"/>
      <c r="AF37" s="28"/>
      <c r="AG37" s="28"/>
      <c r="AH37" s="17">
        <f t="shared" si="25"/>
        <v>0</v>
      </c>
    </row>
    <row r="38" spans="1:34" ht="13">
      <c r="A38" s="43" t="s">
        <v>60</v>
      </c>
      <c r="B38" s="45">
        <v>44967</v>
      </c>
      <c r="C38" s="48"/>
      <c r="D38" s="49" t="s">
        <v>136</v>
      </c>
      <c r="E38" s="50"/>
      <c r="F38" s="4"/>
      <c r="G38" s="15">
        <f t="shared" si="13"/>
        <v>2731</v>
      </c>
      <c r="H38" s="9">
        <f>ROUND(PRODUCT(G38/35),0)</f>
        <v>78</v>
      </c>
      <c r="I38" s="9">
        <f>ROUND(PRODUCT(G38/COUNT(F4:F38)),0)</f>
        <v>94</v>
      </c>
      <c r="J38" s="38"/>
      <c r="K38" s="19">
        <f t="shared" si="14"/>
        <v>7.1305555555555555</v>
      </c>
      <c r="L38" s="42">
        <f t="shared" si="15"/>
        <v>0</v>
      </c>
      <c r="M38" s="34"/>
      <c r="N38" s="38"/>
      <c r="O38" s="19">
        <f t="shared" si="16"/>
        <v>10.111111111111111</v>
      </c>
      <c r="P38" s="42">
        <f t="shared" si="17"/>
        <v>0</v>
      </c>
      <c r="Q38" s="19">
        <f t="shared" si="18"/>
        <v>0</v>
      </c>
      <c r="R38" s="19">
        <f t="shared" si="19"/>
        <v>2.9805555555555552</v>
      </c>
      <c r="S38" s="27"/>
      <c r="T38" s="27"/>
      <c r="U38" s="16">
        <f t="shared" si="20"/>
        <v>0</v>
      </c>
      <c r="V38" s="27"/>
      <c r="W38" s="16">
        <f t="shared" si="21"/>
        <v>13788</v>
      </c>
      <c r="X38" s="9">
        <f t="shared" si="22"/>
        <v>0</v>
      </c>
      <c r="Y38" s="16">
        <f t="shared" si="23"/>
        <v>10883</v>
      </c>
      <c r="Z38" s="16">
        <f t="shared" si="24"/>
        <v>0</v>
      </c>
      <c r="AA38" s="27"/>
      <c r="AB38" s="27"/>
      <c r="AC38" s="28"/>
      <c r="AD38" s="27"/>
      <c r="AE38" s="28"/>
      <c r="AF38" s="28"/>
      <c r="AG38" s="28"/>
      <c r="AH38" s="17">
        <f t="shared" si="25"/>
        <v>0</v>
      </c>
    </row>
    <row r="39" spans="1:34" ht="13">
      <c r="A39" s="43" t="s">
        <v>61</v>
      </c>
      <c r="B39" s="45">
        <v>44968</v>
      </c>
      <c r="C39" s="48" t="s">
        <v>136</v>
      </c>
      <c r="D39" s="49" t="s">
        <v>137</v>
      </c>
      <c r="E39" s="50" t="s">
        <v>138</v>
      </c>
      <c r="F39" s="4">
        <v>46</v>
      </c>
      <c r="G39" s="15">
        <f t="shared" si="13"/>
        <v>2777</v>
      </c>
      <c r="H39" s="9">
        <f>ROUND(PRODUCT(G39/36),0)</f>
        <v>77</v>
      </c>
      <c r="I39" s="9">
        <f>ROUND(PRODUCT(G39/COUNT(F4:F39)),0)</f>
        <v>93</v>
      </c>
      <c r="J39" s="38">
        <v>0.22013888888888888</v>
      </c>
      <c r="K39" s="19">
        <f t="shared" si="14"/>
        <v>7.3506944444444446</v>
      </c>
      <c r="L39" s="42">
        <f t="shared" si="15"/>
        <v>8.6999999999999993</v>
      </c>
      <c r="M39" s="34">
        <v>53.3</v>
      </c>
      <c r="N39" s="38">
        <v>0.29166666666666669</v>
      </c>
      <c r="O39" s="19">
        <f t="shared" si="16"/>
        <v>10.402777777777777</v>
      </c>
      <c r="P39" s="42">
        <f t="shared" si="17"/>
        <v>6.6</v>
      </c>
      <c r="Q39" s="19">
        <f t="shared" si="18"/>
        <v>7.1527777777777801E-2</v>
      </c>
      <c r="R39" s="19">
        <f t="shared" si="19"/>
        <v>3.052083333333333</v>
      </c>
      <c r="S39" s="27">
        <v>2950</v>
      </c>
      <c r="T39" s="27">
        <v>4024</v>
      </c>
      <c r="U39" s="16">
        <f t="shared" si="20"/>
        <v>1074</v>
      </c>
      <c r="V39" s="27">
        <v>1325</v>
      </c>
      <c r="W39" s="16">
        <f t="shared" si="21"/>
        <v>15113</v>
      </c>
      <c r="X39" s="9">
        <f t="shared" si="22"/>
        <v>251</v>
      </c>
      <c r="Y39" s="16">
        <f t="shared" si="23"/>
        <v>11134</v>
      </c>
      <c r="Z39" s="16">
        <f t="shared" si="24"/>
        <v>1074</v>
      </c>
      <c r="AA39" s="27">
        <v>4024</v>
      </c>
      <c r="AB39" s="27"/>
      <c r="AC39" s="28"/>
      <c r="AD39" s="27"/>
      <c r="AE39" s="28"/>
      <c r="AF39" s="28"/>
      <c r="AG39" s="28"/>
      <c r="AH39" s="17">
        <f t="shared" si="25"/>
        <v>0</v>
      </c>
    </row>
    <row r="40" spans="1:34" ht="13">
      <c r="A40" s="43" t="s">
        <v>62</v>
      </c>
      <c r="B40" s="45">
        <v>44969</v>
      </c>
      <c r="C40" s="48" t="s">
        <v>138</v>
      </c>
      <c r="D40" s="49" t="s">
        <v>139</v>
      </c>
      <c r="E40" s="50" t="s">
        <v>140</v>
      </c>
      <c r="F40" s="4">
        <v>61</v>
      </c>
      <c r="G40" s="15">
        <f t="shared" si="13"/>
        <v>2838</v>
      </c>
      <c r="H40" s="9">
        <f>ROUND(PRODUCT(G40/37),0)</f>
        <v>77</v>
      </c>
      <c r="I40" s="9">
        <f>ROUND(PRODUCT(G40/COUNT(F4:F40)),0)</f>
        <v>92</v>
      </c>
      <c r="J40" s="38">
        <v>0.18611111111111112</v>
      </c>
      <c r="K40" s="19">
        <f t="shared" si="14"/>
        <v>7.5368055555555555</v>
      </c>
      <c r="L40" s="42">
        <f t="shared" si="15"/>
        <v>13.7</v>
      </c>
      <c r="M40" s="34">
        <v>67.7</v>
      </c>
      <c r="N40" s="38">
        <v>0.23611111111111113</v>
      </c>
      <c r="O40" s="19">
        <f t="shared" si="16"/>
        <v>10.638888888888888</v>
      </c>
      <c r="P40" s="42">
        <f t="shared" si="17"/>
        <v>10.8</v>
      </c>
      <c r="Q40" s="19">
        <f t="shared" si="18"/>
        <v>5.0000000000000017E-2</v>
      </c>
      <c r="R40" s="19">
        <f t="shared" si="19"/>
        <v>3.1020833333333329</v>
      </c>
      <c r="S40" s="27">
        <v>4024</v>
      </c>
      <c r="T40" s="27">
        <v>3660</v>
      </c>
      <c r="U40" s="16">
        <f t="shared" si="20"/>
        <v>-364</v>
      </c>
      <c r="V40" s="27">
        <v>900</v>
      </c>
      <c r="W40" s="16">
        <f t="shared" si="21"/>
        <v>16013</v>
      </c>
      <c r="X40" s="9">
        <f t="shared" si="22"/>
        <v>1264</v>
      </c>
      <c r="Y40" s="16">
        <f t="shared" si="23"/>
        <v>12398</v>
      </c>
      <c r="Z40" s="16">
        <f t="shared" si="24"/>
        <v>-364</v>
      </c>
      <c r="AA40" s="27">
        <v>4230</v>
      </c>
      <c r="AB40" s="27"/>
      <c r="AC40" s="28"/>
      <c r="AD40" s="27"/>
      <c r="AE40" s="28"/>
      <c r="AF40" s="28"/>
      <c r="AG40" s="28"/>
      <c r="AH40" s="17">
        <f t="shared" si="25"/>
        <v>0</v>
      </c>
    </row>
    <row r="41" spans="1:34" ht="13">
      <c r="A41" s="43" t="s">
        <v>63</v>
      </c>
      <c r="B41" s="45">
        <v>44970</v>
      </c>
      <c r="C41" s="48" t="s">
        <v>140</v>
      </c>
      <c r="D41" s="49" t="s">
        <v>141</v>
      </c>
      <c r="E41" s="50" t="s">
        <v>142</v>
      </c>
      <c r="F41" s="4">
        <v>99</v>
      </c>
      <c r="G41" s="15">
        <f>SUM(G40,F41)</f>
        <v>2937</v>
      </c>
      <c r="H41" s="9">
        <f>ROUND(PRODUCT(G41/38),0)</f>
        <v>77</v>
      </c>
      <c r="I41" s="9">
        <f>ROUND(PRODUCT(G41/COUNT(F4:F41)),0)</f>
        <v>92</v>
      </c>
      <c r="J41" s="38">
        <v>0.25625000000000003</v>
      </c>
      <c r="K41" s="19">
        <f>SUM(J41,K40)</f>
        <v>7.7930555555555552</v>
      </c>
      <c r="L41" s="42">
        <f>IF(F41=0,0,ROUND(PRODUCT(F41/SUM(HOUR(J41),PRODUCT(MINUTE(J41)/60))),1))</f>
        <v>16.100000000000001</v>
      </c>
      <c r="M41" s="34">
        <v>61.6</v>
      </c>
      <c r="N41" s="38">
        <v>0.35416666666666669</v>
      </c>
      <c r="O41" s="19">
        <f>SUM(N41,O40)</f>
        <v>10.993055555555554</v>
      </c>
      <c r="P41" s="42">
        <f>IF(F41=0,0,ROUND(PRODUCT(F41/SUM(HOUR(N41),PRODUCT(MINUTE(N41)/60))),1))</f>
        <v>11.6</v>
      </c>
      <c r="Q41" s="19">
        <f>SUM(N41,-J41)</f>
        <v>9.7916666666666652E-2</v>
      </c>
      <c r="R41" s="19">
        <f>SUM(Q41,R40)</f>
        <v>3.1999999999999993</v>
      </c>
      <c r="S41" s="27">
        <v>3660</v>
      </c>
      <c r="T41" s="27">
        <v>3660</v>
      </c>
      <c r="U41" s="16">
        <f>SUM(-S41,T41)</f>
        <v>0</v>
      </c>
      <c r="V41" s="27">
        <v>500</v>
      </c>
      <c r="W41" s="16">
        <f>SUM(W40,V41)</f>
        <v>16513</v>
      </c>
      <c r="X41" s="9">
        <f>SUM(S41,-T41,V41)</f>
        <v>500</v>
      </c>
      <c r="Y41" s="16">
        <f>SUM(Y40,X41)</f>
        <v>12898</v>
      </c>
      <c r="Z41" s="16">
        <f>SUM(V41,-X41)</f>
        <v>0</v>
      </c>
      <c r="AA41" s="27">
        <v>3950</v>
      </c>
      <c r="AB41" s="27"/>
      <c r="AC41" s="28"/>
      <c r="AD41" s="27"/>
      <c r="AE41" s="28"/>
      <c r="AF41" s="28"/>
      <c r="AG41" s="28"/>
      <c r="AH41" s="17">
        <f>SUM(AG41,-AF41)</f>
        <v>0</v>
      </c>
    </row>
    <row r="42" spans="1:34" ht="13">
      <c r="A42" s="43" t="s">
        <v>64</v>
      </c>
      <c r="B42" s="45">
        <v>44971</v>
      </c>
      <c r="C42" s="48" t="s">
        <v>142</v>
      </c>
      <c r="D42" s="49" t="s">
        <v>143</v>
      </c>
      <c r="E42" s="50" t="s">
        <v>144</v>
      </c>
      <c r="F42" s="4">
        <v>41</v>
      </c>
      <c r="G42" s="15">
        <f t="shared" si="13"/>
        <v>2978</v>
      </c>
      <c r="H42" s="9">
        <f>ROUND(PRODUCT(G42/39),0)</f>
        <v>76</v>
      </c>
      <c r="I42" s="9">
        <f>ROUND(PRODUCT(G42/COUNT(F33:F42)),0)</f>
        <v>372</v>
      </c>
      <c r="J42" s="38">
        <v>0.13541666666666666</v>
      </c>
      <c r="K42" s="19">
        <f t="shared" si="14"/>
        <v>7.9284722222222221</v>
      </c>
      <c r="L42" s="42">
        <f t="shared" si="15"/>
        <v>12.6</v>
      </c>
      <c r="M42" s="34">
        <v>27.7</v>
      </c>
      <c r="N42" s="38">
        <v>0.29166666666666669</v>
      </c>
      <c r="O42" s="19">
        <f t="shared" si="16"/>
        <v>11.28472222222222</v>
      </c>
      <c r="P42" s="42">
        <f t="shared" si="17"/>
        <v>5.9</v>
      </c>
      <c r="Q42" s="19">
        <f t="shared" si="18"/>
        <v>0.15625000000000003</v>
      </c>
      <c r="R42" s="19">
        <f t="shared" si="19"/>
        <v>3.3562499999999993</v>
      </c>
      <c r="S42" s="27">
        <v>3660</v>
      </c>
      <c r="T42" s="27">
        <v>3660</v>
      </c>
      <c r="U42" s="16">
        <f t="shared" si="20"/>
        <v>0</v>
      </c>
      <c r="V42" s="27">
        <v>20</v>
      </c>
      <c r="W42" s="16">
        <f t="shared" si="21"/>
        <v>16533</v>
      </c>
      <c r="X42" s="9">
        <f t="shared" si="22"/>
        <v>20</v>
      </c>
      <c r="Y42" s="16">
        <f t="shared" si="23"/>
        <v>12918</v>
      </c>
      <c r="Z42" s="16">
        <f t="shared" si="24"/>
        <v>0</v>
      </c>
      <c r="AA42" s="27">
        <v>3670</v>
      </c>
      <c r="AB42" s="27"/>
      <c r="AC42" s="28"/>
      <c r="AD42" s="27"/>
      <c r="AE42" s="28"/>
      <c r="AF42" s="28"/>
      <c r="AG42" s="28"/>
      <c r="AH42" s="17">
        <f t="shared" si="25"/>
        <v>0</v>
      </c>
    </row>
    <row r="43" spans="1:34" ht="13">
      <c r="A43" s="43" t="s">
        <v>65</v>
      </c>
      <c r="B43" s="45">
        <v>44972</v>
      </c>
      <c r="C43" s="48" t="s">
        <v>144</v>
      </c>
      <c r="D43" s="49" t="s">
        <v>145</v>
      </c>
      <c r="E43" s="50" t="s">
        <v>146</v>
      </c>
      <c r="F43" s="4">
        <v>80</v>
      </c>
      <c r="G43" s="15">
        <f t="shared" si="13"/>
        <v>3058</v>
      </c>
      <c r="H43" s="9">
        <f>ROUND(PRODUCT(G43/40),0)</f>
        <v>76</v>
      </c>
      <c r="I43" s="9">
        <f>ROUND(PRODUCT(G43/COUNT(F4:F43)),0)</f>
        <v>90</v>
      </c>
      <c r="J43" s="38">
        <v>0.24444444444444446</v>
      </c>
      <c r="K43" s="19">
        <f t="shared" si="14"/>
        <v>8.1729166666666657</v>
      </c>
      <c r="L43" s="42">
        <f t="shared" si="15"/>
        <v>13.6</v>
      </c>
      <c r="M43" s="34">
        <v>47.2</v>
      </c>
      <c r="N43" s="38">
        <v>0.30208333333333331</v>
      </c>
      <c r="O43" s="19">
        <f t="shared" si="16"/>
        <v>11.586805555555554</v>
      </c>
      <c r="P43" s="42">
        <f t="shared" si="17"/>
        <v>11</v>
      </c>
      <c r="Q43" s="19">
        <f t="shared" si="18"/>
        <v>5.7638888888888851E-2</v>
      </c>
      <c r="R43" s="19">
        <f t="shared" si="19"/>
        <v>3.4138888888888883</v>
      </c>
      <c r="S43" s="27">
        <v>3660</v>
      </c>
      <c r="T43" s="27">
        <v>3840</v>
      </c>
      <c r="U43" s="16">
        <f t="shared" si="20"/>
        <v>180</v>
      </c>
      <c r="V43" s="27">
        <v>400</v>
      </c>
      <c r="W43" s="16">
        <f t="shared" si="21"/>
        <v>16933</v>
      </c>
      <c r="X43" s="9">
        <f t="shared" si="22"/>
        <v>220</v>
      </c>
      <c r="Y43" s="16">
        <f t="shared" si="23"/>
        <v>13138</v>
      </c>
      <c r="Z43" s="16">
        <f t="shared" si="24"/>
        <v>180</v>
      </c>
      <c r="AA43" s="27">
        <v>3915</v>
      </c>
      <c r="AB43" s="27"/>
      <c r="AC43" s="28"/>
      <c r="AD43" s="27"/>
      <c r="AE43" s="28"/>
      <c r="AF43" s="28"/>
      <c r="AG43" s="28"/>
      <c r="AH43" s="17">
        <f t="shared" si="25"/>
        <v>0</v>
      </c>
    </row>
    <row r="44" spans="1:34" ht="13">
      <c r="A44" s="43" t="s">
        <v>77</v>
      </c>
      <c r="B44" s="45">
        <v>44973</v>
      </c>
      <c r="C44" s="48" t="s">
        <v>146</v>
      </c>
      <c r="D44" s="49" t="s">
        <v>147</v>
      </c>
      <c r="E44" s="50" t="s">
        <v>148</v>
      </c>
      <c r="F44" s="4">
        <v>135</v>
      </c>
      <c r="G44" s="15">
        <f t="shared" si="13"/>
        <v>3193</v>
      </c>
      <c r="H44" s="9">
        <f>ROUND(PRODUCT(G44/41),0)</f>
        <v>78</v>
      </c>
      <c r="I44" s="9">
        <f>ROUND(PRODUCT(G44/COUNT(F4:F44)),0)</f>
        <v>91</v>
      </c>
      <c r="J44" s="38">
        <v>0.30138888888888887</v>
      </c>
      <c r="K44" s="19">
        <f t="shared" si="14"/>
        <v>8.4743055555555546</v>
      </c>
      <c r="L44" s="42">
        <f t="shared" si="15"/>
        <v>18.7</v>
      </c>
      <c r="M44" s="33">
        <v>41.1</v>
      </c>
      <c r="N44" s="38">
        <v>0.39583333333333331</v>
      </c>
      <c r="O44" s="19">
        <f t="shared" si="16"/>
        <v>11.982638888888888</v>
      </c>
      <c r="P44" s="42">
        <f t="shared" si="17"/>
        <v>14.2</v>
      </c>
      <c r="Q44" s="19">
        <f t="shared" si="18"/>
        <v>9.4444444444444442E-2</v>
      </c>
      <c r="R44" s="19">
        <f t="shared" si="19"/>
        <v>3.5083333333333329</v>
      </c>
      <c r="S44" s="27">
        <v>3840</v>
      </c>
      <c r="T44" s="9">
        <v>3800</v>
      </c>
      <c r="U44" s="16">
        <f t="shared" si="20"/>
        <v>-40</v>
      </c>
      <c r="V44" s="27">
        <v>200</v>
      </c>
      <c r="W44" s="16">
        <f t="shared" si="21"/>
        <v>17133</v>
      </c>
      <c r="X44" s="9">
        <f t="shared" si="22"/>
        <v>240</v>
      </c>
      <c r="Y44" s="16">
        <f t="shared" si="23"/>
        <v>13378</v>
      </c>
      <c r="Z44" s="16">
        <f t="shared" si="24"/>
        <v>-40</v>
      </c>
      <c r="AA44" s="27">
        <v>3800</v>
      </c>
      <c r="AB44" s="9"/>
      <c r="AC44" s="28"/>
      <c r="AD44" s="27"/>
      <c r="AE44" s="28"/>
      <c r="AF44" s="28"/>
      <c r="AG44" s="28"/>
      <c r="AH44" s="17">
        <f t="shared" si="25"/>
        <v>0</v>
      </c>
    </row>
    <row r="45" spans="1:34" ht="13">
      <c r="A45" s="43" t="s">
        <v>78</v>
      </c>
      <c r="B45" s="45">
        <v>44974</v>
      </c>
      <c r="C45" s="48" t="s">
        <v>148</v>
      </c>
      <c r="D45" s="49"/>
      <c r="E45" s="50" t="s">
        <v>149</v>
      </c>
      <c r="F45" s="4">
        <v>120</v>
      </c>
      <c r="G45" s="15">
        <f t="shared" si="13"/>
        <v>3313</v>
      </c>
      <c r="H45" s="9">
        <f>ROUND(PRODUCT(G45/42),0)</f>
        <v>79</v>
      </c>
      <c r="I45" s="9">
        <f>ROUND(PRODUCT(G45/COUNT(F4:F45)),0)</f>
        <v>92</v>
      </c>
      <c r="J45" s="38">
        <v>0.2902777777777778</v>
      </c>
      <c r="K45" s="19">
        <f t="shared" si="14"/>
        <v>8.7645833333333325</v>
      </c>
      <c r="L45" s="42">
        <f t="shared" si="15"/>
        <v>17.2</v>
      </c>
      <c r="M45" s="33">
        <v>48.5</v>
      </c>
      <c r="N45" s="38">
        <v>0.375</v>
      </c>
      <c r="O45" s="19">
        <f t="shared" si="16"/>
        <v>12.357638888888888</v>
      </c>
      <c r="P45" s="42">
        <f t="shared" si="17"/>
        <v>13.3</v>
      </c>
      <c r="Q45" s="19">
        <f t="shared" si="18"/>
        <v>8.4722222222222199E-2</v>
      </c>
      <c r="R45" s="19">
        <f t="shared" si="19"/>
        <v>3.593055555555555</v>
      </c>
      <c r="S45" s="9">
        <v>3800</v>
      </c>
      <c r="T45" s="27">
        <v>3740</v>
      </c>
      <c r="U45" s="16">
        <f t="shared" si="20"/>
        <v>-60</v>
      </c>
      <c r="V45" s="27">
        <v>330</v>
      </c>
      <c r="W45" s="16">
        <f t="shared" si="21"/>
        <v>17463</v>
      </c>
      <c r="X45" s="9">
        <f t="shared" si="22"/>
        <v>390</v>
      </c>
      <c r="Y45" s="16">
        <f t="shared" si="23"/>
        <v>13768</v>
      </c>
      <c r="Z45" s="16">
        <f t="shared" si="24"/>
        <v>-60</v>
      </c>
      <c r="AA45" s="27">
        <v>3815</v>
      </c>
      <c r="AB45" s="9"/>
      <c r="AC45" s="28"/>
      <c r="AD45" s="27"/>
      <c r="AE45" s="28"/>
      <c r="AF45" s="28"/>
      <c r="AG45" s="28"/>
      <c r="AH45" s="17">
        <f t="shared" si="25"/>
        <v>0</v>
      </c>
    </row>
    <row r="46" spans="1:34" ht="13">
      <c r="A46" s="43" t="s">
        <v>79</v>
      </c>
      <c r="B46" s="45">
        <v>44975</v>
      </c>
      <c r="C46" s="48"/>
      <c r="D46" s="49" t="s">
        <v>150</v>
      </c>
      <c r="E46" s="50"/>
      <c r="F46" s="4"/>
      <c r="G46" s="15">
        <f t="shared" si="13"/>
        <v>3313</v>
      </c>
      <c r="H46" s="9">
        <f>ROUND(PRODUCT(G46/43),0)</f>
        <v>77</v>
      </c>
      <c r="I46" s="9">
        <f>ROUND(PRODUCT(G46/COUNT(F4:F46)),0)</f>
        <v>92</v>
      </c>
      <c r="J46" s="38"/>
      <c r="K46" s="19">
        <f t="shared" si="14"/>
        <v>8.7645833333333325</v>
      </c>
      <c r="L46" s="42">
        <f t="shared" si="15"/>
        <v>0</v>
      </c>
      <c r="M46" s="33"/>
      <c r="N46" s="38"/>
      <c r="O46" s="19">
        <f t="shared" si="16"/>
        <v>12.357638888888888</v>
      </c>
      <c r="P46" s="42">
        <f t="shared" si="17"/>
        <v>0</v>
      </c>
      <c r="Q46" s="19">
        <f t="shared" si="18"/>
        <v>0</v>
      </c>
      <c r="R46" s="19">
        <f t="shared" si="19"/>
        <v>3.593055555555555</v>
      </c>
      <c r="S46" s="9"/>
      <c r="T46" s="9"/>
      <c r="U46" s="16">
        <f t="shared" si="20"/>
        <v>0</v>
      </c>
      <c r="V46" s="27"/>
      <c r="W46" s="16">
        <f t="shared" si="21"/>
        <v>17463</v>
      </c>
      <c r="X46" s="9">
        <f t="shared" si="22"/>
        <v>0</v>
      </c>
      <c r="Y46" s="16">
        <f t="shared" si="23"/>
        <v>13768</v>
      </c>
      <c r="Z46" s="16">
        <f t="shared" si="24"/>
        <v>0</v>
      </c>
      <c r="AA46" s="9"/>
      <c r="AB46" s="9"/>
      <c r="AC46" s="28"/>
      <c r="AD46" s="27"/>
      <c r="AE46" s="28"/>
      <c r="AF46" s="28"/>
      <c r="AG46" s="28"/>
      <c r="AH46" s="17">
        <f t="shared" si="25"/>
        <v>0</v>
      </c>
    </row>
    <row r="47" spans="1:34" ht="13">
      <c r="A47" s="43" t="s">
        <v>80</v>
      </c>
      <c r="B47" s="45">
        <v>44976</v>
      </c>
      <c r="C47" s="48" t="s">
        <v>149</v>
      </c>
      <c r="D47" s="49" t="s">
        <v>151</v>
      </c>
      <c r="E47" s="50" t="s">
        <v>152</v>
      </c>
      <c r="F47" s="4">
        <v>142</v>
      </c>
      <c r="G47" s="15">
        <f t="shared" si="13"/>
        <v>3455</v>
      </c>
      <c r="H47" s="9">
        <f>ROUND(PRODUCT(G47/44),0)</f>
        <v>79</v>
      </c>
      <c r="I47" s="9">
        <f>ROUND(PRODUCT(G47/COUNT(F4:F47)),0)</f>
        <v>93</v>
      </c>
      <c r="J47" s="38">
        <v>0.3576388888888889</v>
      </c>
      <c r="K47" s="19">
        <f t="shared" si="14"/>
        <v>9.1222222222222218</v>
      </c>
      <c r="L47" s="42">
        <f t="shared" si="15"/>
        <v>16.5</v>
      </c>
      <c r="M47" s="33">
        <v>50.1</v>
      </c>
      <c r="N47" s="38">
        <v>0.45833333333333331</v>
      </c>
      <c r="O47" s="19">
        <f t="shared" si="16"/>
        <v>12.815972222222221</v>
      </c>
      <c r="P47" s="42">
        <f t="shared" si="17"/>
        <v>12.9</v>
      </c>
      <c r="Q47" s="19">
        <f t="shared" si="18"/>
        <v>0.10069444444444442</v>
      </c>
      <c r="R47" s="19">
        <f t="shared" si="19"/>
        <v>3.6937499999999996</v>
      </c>
      <c r="S47" s="27">
        <v>3740</v>
      </c>
      <c r="T47" s="9">
        <v>3940</v>
      </c>
      <c r="U47" s="16">
        <f t="shared" si="20"/>
        <v>200</v>
      </c>
      <c r="V47" s="27">
        <v>565</v>
      </c>
      <c r="W47" s="16">
        <f t="shared" si="21"/>
        <v>18028</v>
      </c>
      <c r="X47" s="9">
        <f t="shared" si="22"/>
        <v>365</v>
      </c>
      <c r="Y47" s="16">
        <f t="shared" si="23"/>
        <v>14133</v>
      </c>
      <c r="Z47" s="16">
        <f t="shared" si="24"/>
        <v>200</v>
      </c>
      <c r="AA47" s="27">
        <v>3930</v>
      </c>
      <c r="AB47" s="9"/>
      <c r="AC47" s="28"/>
      <c r="AD47" s="27"/>
      <c r="AE47" s="28"/>
      <c r="AF47" s="28"/>
      <c r="AG47" s="28"/>
      <c r="AH47" s="17">
        <f t="shared" si="25"/>
        <v>0</v>
      </c>
    </row>
    <row r="48" spans="1:34" ht="13">
      <c r="A48" s="43" t="s">
        <v>81</v>
      </c>
      <c r="B48" s="45">
        <v>44977</v>
      </c>
      <c r="C48" s="48" t="s">
        <v>152</v>
      </c>
      <c r="D48" s="49" t="s">
        <v>153</v>
      </c>
      <c r="E48" s="50" t="s">
        <v>154</v>
      </c>
      <c r="F48" s="4">
        <v>40</v>
      </c>
      <c r="G48" s="15">
        <f t="shared" si="13"/>
        <v>3495</v>
      </c>
      <c r="H48" s="9">
        <f>ROUND(PRODUCT(G48/45),0)</f>
        <v>78</v>
      </c>
      <c r="I48" s="9">
        <f>ROUND(PRODUCT(G48/COUNT(F4:F48)),0)</f>
        <v>92</v>
      </c>
      <c r="J48" s="38">
        <v>0.14583333333333334</v>
      </c>
      <c r="K48" s="19">
        <f t="shared" si="14"/>
        <v>9.2680555555555557</v>
      </c>
      <c r="L48" s="42">
        <f t="shared" si="15"/>
        <v>11.4</v>
      </c>
      <c r="M48" s="33">
        <v>41.2</v>
      </c>
      <c r="N48" s="38">
        <v>0.1875</v>
      </c>
      <c r="O48" s="19">
        <f t="shared" si="16"/>
        <v>13.003472222222221</v>
      </c>
      <c r="P48" s="42">
        <f t="shared" si="17"/>
        <v>8.9</v>
      </c>
      <c r="Q48" s="19">
        <f t="shared" si="18"/>
        <v>4.1666666666666657E-2</v>
      </c>
      <c r="R48" s="19">
        <f t="shared" si="19"/>
        <v>3.7354166666666662</v>
      </c>
      <c r="S48" s="9">
        <v>3940</v>
      </c>
      <c r="T48" s="9">
        <v>4360</v>
      </c>
      <c r="U48" s="16">
        <f t="shared" si="20"/>
        <v>420</v>
      </c>
      <c r="V48" s="27">
        <v>600</v>
      </c>
      <c r="W48" s="16">
        <f t="shared" si="21"/>
        <v>18628</v>
      </c>
      <c r="X48" s="9">
        <f t="shared" si="22"/>
        <v>180</v>
      </c>
      <c r="Y48" s="16">
        <f t="shared" si="23"/>
        <v>14313</v>
      </c>
      <c r="Z48" s="16">
        <f t="shared" si="24"/>
        <v>420</v>
      </c>
      <c r="AA48" s="27">
        <v>4360</v>
      </c>
      <c r="AB48" s="9"/>
      <c r="AC48" s="28"/>
      <c r="AD48" s="27"/>
      <c r="AE48" s="28"/>
      <c r="AF48" s="28"/>
      <c r="AG48" s="28"/>
      <c r="AH48" s="17">
        <f t="shared" si="25"/>
        <v>0</v>
      </c>
    </row>
    <row r="49" spans="1:34" ht="25">
      <c r="A49" s="43" t="s">
        <v>82</v>
      </c>
      <c r="B49" s="45">
        <v>44978</v>
      </c>
      <c r="C49" s="48" t="s">
        <v>154</v>
      </c>
      <c r="D49" s="49" t="s">
        <v>155</v>
      </c>
      <c r="E49" s="50" t="s">
        <v>156</v>
      </c>
      <c r="F49" s="4">
        <v>79</v>
      </c>
      <c r="G49" s="15">
        <f t="shared" si="13"/>
        <v>3574</v>
      </c>
      <c r="H49" s="9">
        <f>ROUND(PRODUCT(G49/46),0)</f>
        <v>78</v>
      </c>
      <c r="I49" s="9">
        <f>ROUND(PRODUCT(G49/COUNT(F4:F49)),0)</f>
        <v>92</v>
      </c>
      <c r="J49" s="38">
        <v>0.25694444444444448</v>
      </c>
      <c r="K49" s="19">
        <f t="shared" si="14"/>
        <v>9.5250000000000004</v>
      </c>
      <c r="L49" s="42">
        <f t="shared" si="15"/>
        <v>12.8</v>
      </c>
      <c r="M49" s="33">
        <v>52.9</v>
      </c>
      <c r="N49" s="38">
        <v>0.375</v>
      </c>
      <c r="O49" s="19">
        <f t="shared" si="16"/>
        <v>13.378472222222221</v>
      </c>
      <c r="P49" s="42">
        <f t="shared" si="17"/>
        <v>8.8000000000000007</v>
      </c>
      <c r="Q49" s="19">
        <f t="shared" si="18"/>
        <v>0.11805555555555552</v>
      </c>
      <c r="R49" s="19">
        <f t="shared" si="19"/>
        <v>3.8534722222222215</v>
      </c>
      <c r="S49" s="9">
        <v>4360</v>
      </c>
      <c r="T49" s="9">
        <v>3490</v>
      </c>
      <c r="U49" s="16">
        <f t="shared" si="20"/>
        <v>-870</v>
      </c>
      <c r="V49" s="27">
        <v>610</v>
      </c>
      <c r="W49" s="16">
        <f t="shared" si="21"/>
        <v>19238</v>
      </c>
      <c r="X49" s="9">
        <f t="shared" si="22"/>
        <v>1480</v>
      </c>
      <c r="Y49" s="16">
        <f t="shared" si="23"/>
        <v>15793</v>
      </c>
      <c r="Z49" s="16">
        <f t="shared" si="24"/>
        <v>-870</v>
      </c>
      <c r="AA49" s="27">
        <v>4673</v>
      </c>
      <c r="AB49" s="9"/>
      <c r="AC49" s="28"/>
      <c r="AD49" s="27"/>
      <c r="AE49" s="28"/>
      <c r="AF49" s="28"/>
      <c r="AG49" s="28"/>
      <c r="AH49" s="17">
        <f t="shared" si="25"/>
        <v>0</v>
      </c>
    </row>
    <row r="50" spans="1:34" ht="13">
      <c r="A50" s="43" t="s">
        <v>83</v>
      </c>
      <c r="B50" s="45">
        <v>44979</v>
      </c>
      <c r="C50" s="48"/>
      <c r="D50" s="49" t="s">
        <v>156</v>
      </c>
      <c r="E50" s="50"/>
      <c r="F50" s="4"/>
      <c r="G50" s="15">
        <f t="shared" si="13"/>
        <v>3574</v>
      </c>
      <c r="H50" s="9">
        <f>ROUND(PRODUCT(G50/47),0)</f>
        <v>76</v>
      </c>
      <c r="I50" s="9">
        <f>ROUND(PRODUCT(G50/COUNT(F4:F50)),0)</f>
        <v>92</v>
      </c>
      <c r="J50" s="38"/>
      <c r="K50" s="19">
        <f t="shared" si="14"/>
        <v>9.5250000000000004</v>
      </c>
      <c r="L50" s="42">
        <f t="shared" si="15"/>
        <v>0</v>
      </c>
      <c r="M50" s="34"/>
      <c r="N50" s="38"/>
      <c r="O50" s="19">
        <f t="shared" si="16"/>
        <v>13.378472222222221</v>
      </c>
      <c r="P50" s="42">
        <f t="shared" si="17"/>
        <v>0</v>
      </c>
      <c r="Q50" s="19">
        <f t="shared" si="18"/>
        <v>0</v>
      </c>
      <c r="R50" s="19">
        <f t="shared" si="19"/>
        <v>3.8534722222222215</v>
      </c>
      <c r="S50" s="27"/>
      <c r="T50" s="27"/>
      <c r="U50" s="16">
        <f t="shared" si="20"/>
        <v>0</v>
      </c>
      <c r="V50" s="27"/>
      <c r="W50" s="16">
        <f t="shared" si="21"/>
        <v>19238</v>
      </c>
      <c r="X50" s="9">
        <f t="shared" si="22"/>
        <v>0</v>
      </c>
      <c r="Y50" s="16">
        <f t="shared" si="23"/>
        <v>15793</v>
      </c>
      <c r="Z50" s="16">
        <f t="shared" si="24"/>
        <v>0</v>
      </c>
      <c r="AA50" s="27"/>
      <c r="AB50" s="27"/>
      <c r="AC50" s="28"/>
      <c r="AD50" s="27"/>
      <c r="AE50" s="28"/>
      <c r="AF50" s="28"/>
      <c r="AG50" s="28"/>
      <c r="AH50" s="17">
        <f t="shared" si="25"/>
        <v>0</v>
      </c>
    </row>
    <row r="51" spans="1:34" ht="13">
      <c r="A51" s="43" t="s">
        <v>84</v>
      </c>
      <c r="B51" s="45">
        <v>44980</v>
      </c>
      <c r="C51" s="48" t="s">
        <v>156</v>
      </c>
      <c r="D51" s="49" t="s">
        <v>157</v>
      </c>
      <c r="E51" s="50" t="s">
        <v>158</v>
      </c>
      <c r="F51" s="4">
        <v>149</v>
      </c>
      <c r="G51" s="15">
        <f t="shared" si="13"/>
        <v>3723</v>
      </c>
      <c r="H51" s="9">
        <f>ROUND(PRODUCT(G51/48),0)</f>
        <v>78</v>
      </c>
      <c r="I51" s="9">
        <f>ROUND(PRODUCT(G51/COUNT(F4:F51)),0)</f>
        <v>93</v>
      </c>
      <c r="J51" s="38">
        <v>0.33194444444444443</v>
      </c>
      <c r="K51" s="19">
        <f t="shared" si="14"/>
        <v>9.8569444444444443</v>
      </c>
      <c r="L51" s="42">
        <f t="shared" si="15"/>
        <v>18.7</v>
      </c>
      <c r="M51" s="34">
        <v>71</v>
      </c>
      <c r="N51" s="38">
        <v>0.45833333333333331</v>
      </c>
      <c r="O51" s="19">
        <f t="shared" si="16"/>
        <v>13.836805555555555</v>
      </c>
      <c r="P51" s="42">
        <f t="shared" si="17"/>
        <v>13.5</v>
      </c>
      <c r="Q51" s="19">
        <f t="shared" si="18"/>
        <v>0.12638888888888888</v>
      </c>
      <c r="R51" s="19">
        <f t="shared" si="19"/>
        <v>3.9798611111111102</v>
      </c>
      <c r="S51" s="27">
        <v>3490</v>
      </c>
      <c r="T51" s="27">
        <v>10</v>
      </c>
      <c r="U51" s="16">
        <f t="shared" si="20"/>
        <v>-3480</v>
      </c>
      <c r="V51" s="27">
        <v>600</v>
      </c>
      <c r="W51" s="16">
        <f t="shared" si="21"/>
        <v>19838</v>
      </c>
      <c r="X51" s="9">
        <f t="shared" si="22"/>
        <v>4080</v>
      </c>
      <c r="Y51" s="16">
        <f t="shared" si="23"/>
        <v>19873</v>
      </c>
      <c r="Z51" s="16">
        <f t="shared" si="24"/>
        <v>-3480</v>
      </c>
      <c r="AA51" s="27">
        <v>3750</v>
      </c>
      <c r="AB51" s="27"/>
      <c r="AC51" s="28"/>
      <c r="AD51" s="27"/>
      <c r="AE51" s="28"/>
      <c r="AF51" s="28"/>
      <c r="AG51" s="28"/>
      <c r="AH51" s="17">
        <f t="shared" si="25"/>
        <v>0</v>
      </c>
    </row>
    <row r="52" spans="1:34" ht="13">
      <c r="A52" s="43" t="s">
        <v>85</v>
      </c>
      <c r="B52" s="45">
        <v>44981</v>
      </c>
      <c r="C52" s="48" t="s">
        <v>158</v>
      </c>
      <c r="D52" s="49" t="s">
        <v>159</v>
      </c>
      <c r="E52" s="50" t="s">
        <v>160</v>
      </c>
      <c r="F52" s="4">
        <v>60</v>
      </c>
      <c r="G52" s="15">
        <f t="shared" si="13"/>
        <v>3783</v>
      </c>
      <c r="H52" s="9">
        <f>ROUND(PRODUCT(G52/49),0)</f>
        <v>77</v>
      </c>
      <c r="I52" s="9">
        <f>ROUND(PRODUCT(G52/COUNT(F4:F52)),0)</f>
        <v>92</v>
      </c>
      <c r="J52" s="38">
        <v>0.15625</v>
      </c>
      <c r="K52" s="19">
        <f t="shared" si="14"/>
        <v>10.013194444444444</v>
      </c>
      <c r="L52" s="42">
        <f t="shared" si="15"/>
        <v>16</v>
      </c>
      <c r="M52" s="34">
        <v>34.1</v>
      </c>
      <c r="N52" s="38">
        <v>0.25</v>
      </c>
      <c r="O52" s="19">
        <f t="shared" si="16"/>
        <v>14.086805555555555</v>
      </c>
      <c r="P52" s="42">
        <f t="shared" si="17"/>
        <v>10</v>
      </c>
      <c r="Q52" s="19">
        <f t="shared" si="18"/>
        <v>9.375E-2</v>
      </c>
      <c r="R52" s="19">
        <f t="shared" si="19"/>
        <v>4.0736111111111102</v>
      </c>
      <c r="S52" s="27">
        <v>10</v>
      </c>
      <c r="T52" s="27">
        <v>575</v>
      </c>
      <c r="U52" s="16">
        <f t="shared" si="20"/>
        <v>565</v>
      </c>
      <c r="V52" s="27">
        <v>600</v>
      </c>
      <c r="W52" s="16">
        <f t="shared" si="21"/>
        <v>20438</v>
      </c>
      <c r="X52" s="9">
        <f t="shared" si="22"/>
        <v>35</v>
      </c>
      <c r="Y52" s="16">
        <f t="shared" si="23"/>
        <v>19908</v>
      </c>
      <c r="Z52" s="16">
        <f t="shared" si="24"/>
        <v>565</v>
      </c>
      <c r="AA52" s="27">
        <v>575</v>
      </c>
      <c r="AB52" s="27"/>
      <c r="AC52" s="28"/>
      <c r="AD52" s="27"/>
      <c r="AE52" s="28"/>
      <c r="AF52" s="28"/>
      <c r="AG52" s="28"/>
      <c r="AH52" s="17">
        <f t="shared" si="25"/>
        <v>0</v>
      </c>
    </row>
    <row r="53" spans="1:34" ht="13">
      <c r="A53" s="43" t="s">
        <v>86</v>
      </c>
      <c r="B53" s="45">
        <v>44982</v>
      </c>
      <c r="C53" s="48" t="s">
        <v>160</v>
      </c>
      <c r="D53" s="49"/>
      <c r="E53" s="50" t="s">
        <v>161</v>
      </c>
      <c r="F53" s="4">
        <v>62</v>
      </c>
      <c r="G53" s="15">
        <f t="shared" si="13"/>
        <v>3845</v>
      </c>
      <c r="H53" s="9">
        <f>ROUND(PRODUCT(G53/50),0)</f>
        <v>77</v>
      </c>
      <c r="I53" s="9">
        <f>ROUND(PRODUCT(G53/COUNT(F4:F53)),0)</f>
        <v>92</v>
      </c>
      <c r="J53" s="38">
        <v>0.15833333333333333</v>
      </c>
      <c r="K53" s="19">
        <f t="shared" si="14"/>
        <v>10.171527777777778</v>
      </c>
      <c r="L53" s="42">
        <f t="shared" si="15"/>
        <v>16.3</v>
      </c>
      <c r="M53" s="34">
        <v>26.5</v>
      </c>
      <c r="N53" s="38">
        <v>0.16666666666666666</v>
      </c>
      <c r="O53" s="19">
        <f t="shared" si="16"/>
        <v>14.253472222222221</v>
      </c>
      <c r="P53" s="42">
        <f t="shared" si="17"/>
        <v>15.5</v>
      </c>
      <c r="Q53" s="19">
        <f t="shared" si="18"/>
        <v>8.3333333333333315E-3</v>
      </c>
      <c r="R53" s="19">
        <f t="shared" si="19"/>
        <v>4.0819444444444439</v>
      </c>
      <c r="S53" s="27">
        <v>575</v>
      </c>
      <c r="T53" s="27">
        <v>10</v>
      </c>
      <c r="U53" s="16">
        <f t="shared" si="20"/>
        <v>-565</v>
      </c>
      <c r="V53" s="27">
        <v>20</v>
      </c>
      <c r="W53" s="16">
        <f t="shared" si="21"/>
        <v>20458</v>
      </c>
      <c r="X53" s="9">
        <f t="shared" si="22"/>
        <v>585</v>
      </c>
      <c r="Y53" s="16">
        <f t="shared" si="23"/>
        <v>20493</v>
      </c>
      <c r="Z53" s="16">
        <f t="shared" si="24"/>
        <v>-565</v>
      </c>
      <c r="AA53" s="27">
        <v>575</v>
      </c>
      <c r="AB53" s="27"/>
      <c r="AC53" s="28"/>
      <c r="AD53" s="27"/>
      <c r="AE53" s="28"/>
      <c r="AF53" s="28"/>
      <c r="AG53" s="28"/>
      <c r="AH53" s="17">
        <f t="shared" si="25"/>
        <v>0</v>
      </c>
    </row>
    <row r="54" spans="1:34" ht="13">
      <c r="A54" s="43" t="s">
        <v>87</v>
      </c>
      <c r="B54" s="45">
        <v>44983</v>
      </c>
      <c r="C54" s="48"/>
      <c r="D54" s="49" t="s">
        <v>160</v>
      </c>
      <c r="E54" s="50"/>
      <c r="F54" s="4"/>
      <c r="G54" s="15">
        <f t="shared" si="13"/>
        <v>3845</v>
      </c>
      <c r="H54" s="9">
        <f>ROUND(PRODUCT(G54/51),0)</f>
        <v>75</v>
      </c>
      <c r="I54" s="9">
        <f>ROUND(PRODUCT(G54/COUNT(F4:F54)),0)</f>
        <v>92</v>
      </c>
      <c r="J54" s="38"/>
      <c r="K54" s="19">
        <f t="shared" si="14"/>
        <v>10.171527777777778</v>
      </c>
      <c r="L54" s="42">
        <f t="shared" si="15"/>
        <v>0</v>
      </c>
      <c r="M54" s="34"/>
      <c r="N54" s="38"/>
      <c r="O54" s="19">
        <f t="shared" si="16"/>
        <v>14.253472222222221</v>
      </c>
      <c r="P54" s="42">
        <f t="shared" si="17"/>
        <v>0</v>
      </c>
      <c r="Q54" s="19">
        <f t="shared" si="18"/>
        <v>0</v>
      </c>
      <c r="R54" s="19">
        <f t="shared" si="19"/>
        <v>4.0819444444444439</v>
      </c>
      <c r="S54" s="27"/>
      <c r="T54" s="27"/>
      <c r="U54" s="16">
        <f t="shared" si="20"/>
        <v>0</v>
      </c>
      <c r="V54" s="27"/>
      <c r="W54" s="16">
        <f t="shared" si="21"/>
        <v>20458</v>
      </c>
      <c r="X54" s="9">
        <f t="shared" si="22"/>
        <v>0</v>
      </c>
      <c r="Y54" s="16">
        <f t="shared" si="23"/>
        <v>20493</v>
      </c>
      <c r="Z54" s="16">
        <f t="shared" si="24"/>
        <v>0</v>
      </c>
      <c r="AA54" s="27"/>
      <c r="AB54" s="27"/>
      <c r="AC54" s="28"/>
      <c r="AD54" s="27"/>
      <c r="AE54" s="28"/>
      <c r="AF54" s="28"/>
      <c r="AG54" s="28"/>
      <c r="AH54" s="17">
        <f t="shared" si="25"/>
        <v>0</v>
      </c>
    </row>
    <row r="55" spans="1:34" ht="13">
      <c r="A55" s="43" t="s">
        <v>88</v>
      </c>
      <c r="B55" s="45">
        <v>44984</v>
      </c>
      <c r="C55" s="48" t="s">
        <v>160</v>
      </c>
      <c r="D55" s="49" t="s">
        <v>169</v>
      </c>
      <c r="E55" s="50" t="s">
        <v>162</v>
      </c>
      <c r="F55" s="4">
        <v>23</v>
      </c>
      <c r="G55" s="15">
        <f t="shared" si="13"/>
        <v>3868</v>
      </c>
      <c r="H55" s="9">
        <f>ROUND(PRODUCT(G55/52),0)</f>
        <v>74</v>
      </c>
      <c r="I55" s="9">
        <f>ROUND(PRODUCT(G55/COUNT(F4:F55)),0)</f>
        <v>90</v>
      </c>
      <c r="J55" s="38">
        <v>6.0416666666666667E-2</v>
      </c>
      <c r="K55" s="19">
        <f t="shared" si="14"/>
        <v>10.231944444444444</v>
      </c>
      <c r="L55" s="42">
        <f t="shared" si="15"/>
        <v>15.9</v>
      </c>
      <c r="M55" s="34">
        <v>27.5</v>
      </c>
      <c r="N55" s="38">
        <v>0.125</v>
      </c>
      <c r="O55" s="19">
        <f t="shared" si="16"/>
        <v>14.378472222222221</v>
      </c>
      <c r="P55" s="42">
        <f t="shared" si="17"/>
        <v>7.7</v>
      </c>
      <c r="Q55" s="19">
        <f t="shared" si="18"/>
        <v>6.4583333333333326E-2</v>
      </c>
      <c r="R55" s="19">
        <f t="shared" si="19"/>
        <v>4.1465277777777771</v>
      </c>
      <c r="S55" s="27">
        <v>575</v>
      </c>
      <c r="T55" s="27">
        <v>70</v>
      </c>
      <c r="U55" s="16">
        <f t="shared" si="20"/>
        <v>-505</v>
      </c>
      <c r="V55" s="27">
        <v>50</v>
      </c>
      <c r="W55" s="16">
        <f t="shared" si="21"/>
        <v>20508</v>
      </c>
      <c r="X55" s="9">
        <f t="shared" si="22"/>
        <v>555</v>
      </c>
      <c r="Y55" s="16">
        <f t="shared" si="23"/>
        <v>21048</v>
      </c>
      <c r="Z55" s="16">
        <f t="shared" si="24"/>
        <v>-505</v>
      </c>
      <c r="AA55" s="27">
        <v>575</v>
      </c>
      <c r="AB55" s="27"/>
      <c r="AC55" s="28"/>
      <c r="AD55" s="27"/>
      <c r="AE55" s="28"/>
      <c r="AF55" s="28"/>
      <c r="AG55" s="28"/>
      <c r="AH55" s="17">
        <f t="shared" si="25"/>
        <v>0</v>
      </c>
    </row>
    <row r="56" spans="1:34" ht="13">
      <c r="A56" s="43" t="s">
        <v>89</v>
      </c>
      <c r="B56" s="45">
        <v>44985</v>
      </c>
      <c r="C56" s="48" t="s">
        <v>162</v>
      </c>
      <c r="D56" s="49" t="s">
        <v>163</v>
      </c>
      <c r="E56" s="50" t="s">
        <v>162</v>
      </c>
      <c r="F56" s="4">
        <v>27</v>
      </c>
      <c r="G56" s="15">
        <f t="shared" si="13"/>
        <v>3895</v>
      </c>
      <c r="H56" s="9">
        <f>ROUND(PRODUCT(G56/53),0)</f>
        <v>73</v>
      </c>
      <c r="I56" s="9">
        <f>ROUND(PRODUCT(G56/COUNT(F4:F56)),0)</f>
        <v>89</v>
      </c>
      <c r="J56" s="38">
        <v>8.5416666666666655E-2</v>
      </c>
      <c r="K56" s="19">
        <f t="shared" si="14"/>
        <v>10.317361111111111</v>
      </c>
      <c r="L56" s="42">
        <f t="shared" si="15"/>
        <v>13.2</v>
      </c>
      <c r="M56" s="34">
        <v>23</v>
      </c>
      <c r="N56" s="38">
        <v>0.125</v>
      </c>
      <c r="O56" s="19">
        <f t="shared" si="16"/>
        <v>14.503472222222221</v>
      </c>
      <c r="P56" s="42">
        <f t="shared" si="17"/>
        <v>9</v>
      </c>
      <c r="Q56" s="19">
        <f t="shared" si="18"/>
        <v>3.9583333333333345E-2</v>
      </c>
      <c r="R56" s="19">
        <f t="shared" si="19"/>
        <v>4.1861111111111109</v>
      </c>
      <c r="S56" s="27">
        <v>70</v>
      </c>
      <c r="T56" s="27">
        <v>70</v>
      </c>
      <c r="U56" s="16">
        <f t="shared" si="20"/>
        <v>0</v>
      </c>
      <c r="V56" s="27">
        <v>50</v>
      </c>
      <c r="W56" s="16">
        <f t="shared" si="21"/>
        <v>20558</v>
      </c>
      <c r="X56" s="9">
        <f t="shared" si="22"/>
        <v>50</v>
      </c>
      <c r="Y56" s="16">
        <f t="shared" si="23"/>
        <v>21098</v>
      </c>
      <c r="Z56" s="16">
        <f t="shared" si="24"/>
        <v>0</v>
      </c>
      <c r="AA56" s="27">
        <v>100</v>
      </c>
      <c r="AB56" s="27"/>
      <c r="AC56" s="28"/>
      <c r="AD56" s="27"/>
      <c r="AE56" s="28"/>
      <c r="AF56" s="28"/>
      <c r="AG56" s="28"/>
      <c r="AH56" s="17">
        <f t="shared" si="25"/>
        <v>0</v>
      </c>
    </row>
    <row r="57" spans="1:34" ht="13">
      <c r="A57" s="43" t="s">
        <v>90</v>
      </c>
      <c r="B57" s="45">
        <v>44986</v>
      </c>
      <c r="C57" s="48" t="s">
        <v>162</v>
      </c>
      <c r="D57" s="49" t="s">
        <v>164</v>
      </c>
      <c r="E57" s="50" t="s">
        <v>162</v>
      </c>
      <c r="F57" s="4">
        <v>64</v>
      </c>
      <c r="G57" s="15">
        <f t="shared" si="13"/>
        <v>3959</v>
      </c>
      <c r="H57" s="9">
        <f>ROUND(PRODUCT(G57/54),0)</f>
        <v>73</v>
      </c>
      <c r="I57" s="9">
        <f>ROUND(PRODUCT(G57/COUNT(F4:F57)),0)</f>
        <v>88</v>
      </c>
      <c r="J57" s="38">
        <v>0.1875</v>
      </c>
      <c r="K57" s="19">
        <f t="shared" si="14"/>
        <v>10.504861111111111</v>
      </c>
      <c r="L57" s="42">
        <f t="shared" si="15"/>
        <v>14.2</v>
      </c>
      <c r="M57" s="34">
        <v>30.7</v>
      </c>
      <c r="N57" s="38">
        <v>0.32291666666666669</v>
      </c>
      <c r="O57" s="19">
        <f t="shared" si="16"/>
        <v>14.826388888888888</v>
      </c>
      <c r="P57" s="42">
        <f t="shared" si="17"/>
        <v>8.3000000000000007</v>
      </c>
      <c r="Q57" s="19">
        <f t="shared" si="18"/>
        <v>0.13541666666666669</v>
      </c>
      <c r="R57" s="19">
        <f t="shared" si="19"/>
        <v>4.3215277777777779</v>
      </c>
      <c r="S57" s="27">
        <v>70</v>
      </c>
      <c r="T57" s="27">
        <v>70</v>
      </c>
      <c r="U57" s="16">
        <f t="shared" si="20"/>
        <v>0</v>
      </c>
      <c r="V57" s="27">
        <v>200</v>
      </c>
      <c r="W57" s="16">
        <f t="shared" si="21"/>
        <v>20758</v>
      </c>
      <c r="X57" s="9">
        <f t="shared" si="22"/>
        <v>200</v>
      </c>
      <c r="Y57" s="16">
        <f t="shared" si="23"/>
        <v>21298</v>
      </c>
      <c r="Z57" s="16">
        <f t="shared" si="24"/>
        <v>0</v>
      </c>
      <c r="AA57" s="27">
        <v>75</v>
      </c>
      <c r="AB57" s="27"/>
      <c r="AC57" s="28"/>
      <c r="AD57" s="27"/>
      <c r="AE57" s="28"/>
      <c r="AF57" s="28"/>
      <c r="AG57" s="28"/>
      <c r="AH57" s="17">
        <f t="shared" si="25"/>
        <v>0</v>
      </c>
    </row>
    <row r="58" spans="1:34" ht="13">
      <c r="A58" s="43" t="s">
        <v>91</v>
      </c>
      <c r="B58" s="45">
        <v>44987</v>
      </c>
      <c r="C58" s="48" t="s">
        <v>162</v>
      </c>
      <c r="D58" s="49" t="s">
        <v>165</v>
      </c>
      <c r="E58" s="50" t="s">
        <v>162</v>
      </c>
      <c r="F58" s="4">
        <v>46</v>
      </c>
      <c r="G58" s="15">
        <f t="shared" si="13"/>
        <v>4005</v>
      </c>
      <c r="H58" s="9">
        <f>ROUND(PRODUCT(G58/55),0)</f>
        <v>73</v>
      </c>
      <c r="I58" s="9">
        <f>ROUND(PRODUCT(G58/COUNT(F4:F58)),0)</f>
        <v>87</v>
      </c>
      <c r="J58" s="38">
        <v>0.13749999999999998</v>
      </c>
      <c r="K58" s="19">
        <f t="shared" si="14"/>
        <v>10.642361111111111</v>
      </c>
      <c r="L58" s="42">
        <f t="shared" si="15"/>
        <v>13.9</v>
      </c>
      <c r="M58" s="34">
        <v>25.5</v>
      </c>
      <c r="N58" s="38">
        <v>0.29166666666666669</v>
      </c>
      <c r="O58" s="19">
        <f t="shared" si="16"/>
        <v>15.118055555555554</v>
      </c>
      <c r="P58" s="42">
        <f t="shared" si="17"/>
        <v>6.6</v>
      </c>
      <c r="Q58" s="19">
        <f t="shared" si="18"/>
        <v>0.1541666666666667</v>
      </c>
      <c r="R58" s="19">
        <f t="shared" si="19"/>
        <v>4.4756944444444446</v>
      </c>
      <c r="S58" s="27">
        <v>70</v>
      </c>
      <c r="T58" s="27">
        <v>70</v>
      </c>
      <c r="U58" s="16">
        <f t="shared" si="20"/>
        <v>0</v>
      </c>
      <c r="V58" s="27">
        <v>50</v>
      </c>
      <c r="W58" s="16">
        <f t="shared" si="21"/>
        <v>20808</v>
      </c>
      <c r="X58" s="9">
        <f t="shared" si="22"/>
        <v>50</v>
      </c>
      <c r="Y58" s="16">
        <f t="shared" si="23"/>
        <v>21348</v>
      </c>
      <c r="Z58" s="16">
        <f t="shared" si="24"/>
        <v>0</v>
      </c>
      <c r="AA58" s="27">
        <v>100</v>
      </c>
      <c r="AB58" s="27"/>
      <c r="AC58" s="28"/>
      <c r="AD58" s="27"/>
      <c r="AE58" s="28"/>
      <c r="AF58" s="28"/>
      <c r="AG58" s="28"/>
      <c r="AH58" s="17">
        <f t="shared" si="25"/>
        <v>0</v>
      </c>
    </row>
    <row r="59" spans="1:34" ht="13">
      <c r="A59" s="29" t="s">
        <v>6</v>
      </c>
      <c r="B59" s="59"/>
      <c r="C59" s="60"/>
      <c r="D59" s="60"/>
      <c r="E59" s="61"/>
      <c r="F59" s="30">
        <f>SUM(F4:F58)</f>
        <v>4005</v>
      </c>
      <c r="G59" s="20">
        <f>SUM(G58)</f>
        <v>4005</v>
      </c>
      <c r="H59" s="20">
        <f>SUM(H58)</f>
        <v>73</v>
      </c>
      <c r="I59" s="20">
        <f>SUM(I58)</f>
        <v>87</v>
      </c>
      <c r="J59" s="21">
        <f>SUM(J4:J58)</f>
        <v>10.642361111111111</v>
      </c>
      <c r="K59" s="36">
        <f>F59/SUM(HOUR(J59)+(ROUNDDOWN(J59,0)*24),PRODUCT(MINUTE(J59)/60))</f>
        <v>15.680261011419249</v>
      </c>
      <c r="L59" s="41">
        <f>SUM(L4:L58)/COUNT(F4:F58)</f>
        <v>15.35217391304348</v>
      </c>
      <c r="M59" s="46">
        <f>PRODUCT(SUM(M4:M58),1/COUNT(M4:M58))</f>
        <v>40.821739130434771</v>
      </c>
      <c r="N59" s="21">
        <f>SUM(N4:N58)</f>
        <v>15.118055555555554</v>
      </c>
      <c r="O59" s="36">
        <f>F59/SUM(HOUR(N59)+(ROUNDDOWN(N59,0)*24),PRODUCT(MINUTE(N59)/60))</f>
        <v>11.038125861276987</v>
      </c>
      <c r="P59" s="41">
        <f>SUM(P4:P58)/COUNT(F4:F58)</f>
        <v>11.13478260869565</v>
      </c>
      <c r="Q59" s="21">
        <f>SUM(Q4:Q58)</f>
        <v>4.4756944444444446</v>
      </c>
      <c r="R59" s="20"/>
      <c r="S59" s="20">
        <f>ROUND(SUM(S4:S58)/COUNT(S4:S58),0)</f>
        <v>1189</v>
      </c>
      <c r="T59" s="20">
        <f>ROUND(SUM(T4:T58)/COUNT(T4:T58),0)</f>
        <v>1177</v>
      </c>
      <c r="U59" s="22">
        <f>SUM(U4:U58)</f>
        <v>-540</v>
      </c>
      <c r="V59" s="20">
        <f>ROUND(SUM(V4:V58)/COUNT(V4:V58),0)</f>
        <v>452</v>
      </c>
      <c r="W59" s="20">
        <f>SUM(W58)</f>
        <v>20808</v>
      </c>
      <c r="X59" s="20">
        <f>ROUND(SUM(X4:X58)/COUNT(V4:V58),0)</f>
        <v>464</v>
      </c>
      <c r="Y59" s="20">
        <f>SUM(Y58)</f>
        <v>21348</v>
      </c>
      <c r="Z59" s="22">
        <f>SUM(Z4:Z58)</f>
        <v>-540</v>
      </c>
      <c r="AA59" s="20">
        <f>ROUND(SUM(AA4:AA58)/COUNT(AA4:AA58),0)</f>
        <v>1426</v>
      </c>
      <c r="AB59" s="35" t="e">
        <f t="shared" ref="AB59:AG59" si="26">SUM(AB4:AB58)/COUNT(AB4:AB58)</f>
        <v>#DIV/0!</v>
      </c>
      <c r="AC59" s="35" t="e">
        <f t="shared" si="26"/>
        <v>#DIV/0!</v>
      </c>
      <c r="AD59" s="35" t="e">
        <f t="shared" si="26"/>
        <v>#DIV/0!</v>
      </c>
      <c r="AE59" s="35" t="e">
        <f t="shared" si="26"/>
        <v>#DIV/0!</v>
      </c>
      <c r="AF59" s="35" t="e">
        <f t="shared" si="26"/>
        <v>#DIV/0!</v>
      </c>
      <c r="AG59" s="35" t="e">
        <f t="shared" si="26"/>
        <v>#DIV/0!</v>
      </c>
      <c r="AH59" s="35" t="e">
        <f>SUM(AH4:AH58)/COUNT(AG4:AG58)</f>
        <v>#DIV/0!</v>
      </c>
    </row>
    <row r="60" spans="1:34" ht="13">
      <c r="Q60" s="9"/>
      <c r="R60" s="9"/>
      <c r="S60" s="9"/>
      <c r="W60" s="16"/>
      <c r="Y60" s="16"/>
    </row>
    <row r="61" spans="1:34" ht="13">
      <c r="O61" s="9"/>
      <c r="P61" s="9"/>
      <c r="Q61" s="9"/>
      <c r="R61" s="31"/>
      <c r="S61" s="9"/>
      <c r="T61" s="9"/>
      <c r="U61" s="9"/>
      <c r="V61" s="9"/>
      <c r="W61" s="16"/>
      <c r="X61" s="9"/>
      <c r="Y61" s="16"/>
      <c r="Z61" s="9"/>
      <c r="AA61" s="9"/>
    </row>
    <row r="62" spans="1:34" ht="13">
      <c r="N62" s="40"/>
      <c r="O62" s="9"/>
      <c r="P62" s="9"/>
      <c r="Q62" s="39"/>
      <c r="R62" s="39"/>
      <c r="S62" s="9"/>
      <c r="T62" s="9"/>
      <c r="U62" s="9"/>
      <c r="V62" s="9"/>
      <c r="W62" s="9"/>
      <c r="X62" s="9"/>
      <c r="Y62" s="9"/>
      <c r="Z62" s="9"/>
      <c r="AA62" s="9"/>
    </row>
    <row r="63" spans="1:34" ht="13">
      <c r="O63" s="9"/>
      <c r="P63" s="9"/>
      <c r="Q63" s="39"/>
      <c r="R63" s="39"/>
      <c r="S63" s="9"/>
      <c r="T63" s="9"/>
      <c r="U63" s="9"/>
      <c r="V63" s="9"/>
      <c r="W63" s="9"/>
      <c r="X63" s="9"/>
      <c r="Y63" s="9"/>
      <c r="Z63" s="9"/>
      <c r="AA63" s="9"/>
    </row>
    <row r="64" spans="1:34" ht="13">
      <c r="O64" s="9"/>
      <c r="P64" s="9"/>
      <c r="Q64" s="9"/>
      <c r="R64" s="39"/>
      <c r="S64" s="9"/>
      <c r="T64" s="9"/>
      <c r="U64" s="9"/>
      <c r="V64" s="9"/>
      <c r="W64" s="9"/>
      <c r="X64" s="9"/>
      <c r="Y64" s="9"/>
      <c r="Z64" s="9"/>
      <c r="AA64" s="9"/>
    </row>
    <row r="65" spans="15:27"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</sheetData>
  <mergeCells count="4">
    <mergeCell ref="A1:F1"/>
    <mergeCell ref="A2:F2"/>
    <mergeCell ref="G1:AH1"/>
    <mergeCell ref="B59:E5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8784-3F45-41FC-873E-E5C983838DD1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65808-1EFB-4BB2-865D-7D152BF4E903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2025-11-12T20:24:02Z</dcterms:modified>
</cp:coreProperties>
</file>