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A8B90D97-931A-4920-BD5C-117DFF058F44}" xr6:coauthVersionLast="47" xr6:coauthVersionMax="47" xr10:uidLastSave="{00000000-0000-0000-0000-000000000000}"/>
  <bookViews>
    <workbookView xWindow="-110" yWindow="-110" windowWidth="19420" windowHeight="10420" xr2:uid="{8218E480-3FE5-4B13-B4DB-50FF04C0719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P4" i="1"/>
  <c r="Q4" i="1"/>
  <c r="R4" i="1"/>
  <c r="U4" i="1"/>
  <c r="W4" i="1"/>
  <c r="X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Z4" i="1"/>
  <c r="AH4" i="1"/>
  <c r="G5" i="1"/>
  <c r="H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L5" i="1"/>
  <c r="P5" i="1"/>
  <c r="Q5" i="1"/>
  <c r="U5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X5" i="1"/>
  <c r="Z5" i="1"/>
  <c r="AH5" i="1"/>
  <c r="L6" i="1"/>
  <c r="P6" i="1"/>
  <c r="Q6" i="1"/>
  <c r="U6" i="1"/>
  <c r="U23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AH23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F23" i="1"/>
  <c r="J23" i="1"/>
  <c r="K23" i="1"/>
  <c r="M23" i="1"/>
  <c r="N23" i="1"/>
  <c r="O23" i="1"/>
  <c r="S23" i="1"/>
  <c r="T23" i="1"/>
  <c r="V23" i="1"/>
  <c r="X23" i="1"/>
  <c r="AA23" i="1"/>
  <c r="AB23" i="1"/>
  <c r="AC23" i="1"/>
  <c r="AD23" i="1"/>
  <c r="AE23" i="1"/>
  <c r="AF23" i="1"/>
  <c r="AG23" i="1"/>
  <c r="Q23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L23" i="1"/>
  <c r="G6" i="1"/>
  <c r="P23" i="1"/>
  <c r="Z23" i="1"/>
  <c r="H6" i="1"/>
  <c r="I4" i="1"/>
  <c r="I5" i="1"/>
  <c r="I6" i="1"/>
  <c r="G7" i="1"/>
  <c r="G8" i="1"/>
  <c r="H7" i="1"/>
  <c r="I7" i="1"/>
  <c r="G9" i="1"/>
  <c r="H8" i="1"/>
  <c r="I8" i="1"/>
  <c r="G10" i="1"/>
  <c r="H9" i="1"/>
  <c r="I9" i="1"/>
  <c r="H10" i="1"/>
  <c r="G11" i="1"/>
  <c r="I10" i="1"/>
  <c r="I11" i="1"/>
  <c r="G12" i="1"/>
  <c r="H11" i="1"/>
  <c r="H12" i="1"/>
  <c r="G13" i="1"/>
  <c r="I12" i="1"/>
  <c r="H13" i="1"/>
  <c r="I13" i="1"/>
  <c r="G14" i="1"/>
  <c r="I14" i="1"/>
  <c r="G15" i="1"/>
  <c r="H14" i="1"/>
  <c r="G16" i="1"/>
  <c r="H15" i="1"/>
  <c r="I15" i="1"/>
  <c r="G17" i="1"/>
  <c r="I16" i="1"/>
  <c r="H16" i="1"/>
  <c r="I17" i="1"/>
  <c r="G18" i="1"/>
  <c r="H17" i="1"/>
  <c r="G19" i="1"/>
  <c r="I18" i="1"/>
  <c r="H18" i="1"/>
  <c r="H19" i="1"/>
  <c r="G20" i="1"/>
  <c r="I19" i="1"/>
  <c r="G21" i="1"/>
  <c r="H20" i="1"/>
  <c r="I20" i="1"/>
  <c r="I21" i="1"/>
  <c r="H21" i="1"/>
  <c r="G22" i="1"/>
  <c r="G23" i="1"/>
  <c r="I22" i="1"/>
  <c r="I23" i="1"/>
  <c r="H22" i="1"/>
  <c r="H23" i="1"/>
</calcChain>
</file>

<file path=xl/sharedStrings.xml><?xml version="1.0" encoding="utf-8"?>
<sst xmlns="http://schemas.openxmlformats.org/spreadsheetml/2006/main" count="104" uniqueCount="84">
  <si>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</si>
  <si>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</si>
  <si>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</si>
  <si>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</si>
  <si>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</si>
  <si>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</si>
  <si>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</si>
  <si>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</si>
  <si>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</si>
  <si>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</si>
  <si>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</si>
  <si>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</si>
  <si>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</si>
  <si>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</si>
  <si>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</si>
  <si>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</si>
  <si>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</si>
  <si>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</si>
  <si>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</si>
  <si>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</si>
  <si>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</si>
  <si>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</si>
  <si>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</si>
  <si>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</si>
  <si>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</si>
  <si>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</si>
  <si>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</si>
  <si>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</si>
  <si>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</si>
  <si>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</si>
  <si>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</si>
  <si>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</si>
  <si>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</si>
  <si>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</si>
  <si>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</si>
  <si>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</si>
  <si>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</si>
  <si>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</si>
  <si>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</si>
  <si>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</si>
  <si>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</si>
  <si>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</si>
  <si>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</si>
  <si>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</si>
  <si>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Abidjan </t>
  </si>
  <si>
    <t xml:space="preserve">Grand-Bassam </t>
  </si>
  <si>
    <t xml:space="preserve">Assouindé </t>
  </si>
  <si>
    <t xml:space="preserve">Assinie-Mafia </t>
  </si>
  <si>
    <t xml:space="preserve">Samo </t>
  </si>
  <si>
    <t xml:space="preserve">Aboisso </t>
  </si>
  <si>
    <t xml:space="preserve">Grenze Elfenbeinküste/Ghana </t>
  </si>
  <si>
    <t xml:space="preserve">Elubo </t>
  </si>
  <si>
    <t xml:space="preserve">Axim </t>
  </si>
  <si>
    <t xml:space="preserve">Sekondi-Takoradi </t>
  </si>
  <si>
    <t xml:space="preserve">Abuesi </t>
  </si>
  <si>
    <t xml:space="preserve">Elmina - Cape Coast </t>
  </si>
  <si>
    <t xml:space="preserve">Moree </t>
  </si>
  <si>
    <t xml:space="preserve">Mankessim - Mankwadze </t>
  </si>
  <si>
    <t xml:space="preserve">Winneba </t>
  </si>
  <si>
    <t xml:space="preserve">10. </t>
  </si>
  <si>
    <t xml:space="preserve">Accra </t>
  </si>
  <si>
    <t xml:space="preserve">11. </t>
  </si>
  <si>
    <t xml:space="preserve">Tema </t>
  </si>
  <si>
    <t xml:space="preserve">Adomi Bridge </t>
  </si>
  <si>
    <t xml:space="preserve">12. </t>
  </si>
  <si>
    <t xml:space="preserve">Asikuma </t>
  </si>
  <si>
    <t xml:space="preserve">Ho </t>
  </si>
  <si>
    <t xml:space="preserve">13. </t>
  </si>
  <si>
    <t xml:space="preserve">Nyive - Grenze Ghana/Togo </t>
  </si>
  <si>
    <t xml:space="preserve">Kpalimé </t>
  </si>
  <si>
    <t xml:space="preserve">14. </t>
  </si>
  <si>
    <t xml:space="preserve">15. </t>
  </si>
  <si>
    <t xml:space="preserve">16. </t>
  </si>
  <si>
    <t xml:space="preserve">Badja </t>
  </si>
  <si>
    <t xml:space="preserve">17. </t>
  </si>
  <si>
    <t xml:space="preserve">Lomé - Grenze Togo/Benin </t>
  </si>
  <si>
    <t xml:space="preserve">Grand-Popo </t>
  </si>
  <si>
    <t xml:space="preserve">18. </t>
  </si>
  <si>
    <t xml:space="preserve">Ouidah </t>
  </si>
  <si>
    <t xml:space="preserve">Cotonou </t>
  </si>
  <si>
    <t xml:space="preserve">19. </t>
  </si>
  <si>
    <t xml:space="preserve">Grenze Benin/Nigeria - Badagry - Auto - Grenze Nigeria/Benin </t>
  </si>
  <si>
    <t>Abidjan - Accra - Lomé - Cotonou (26.11.-14.12.2023)</t>
  </si>
  <si>
    <r>
      <t>Statistik</t>
    </r>
    <r>
      <rPr>
        <b/>
        <sz val="20"/>
        <rFont val="Arial"/>
        <family val="2"/>
      </rPr>
      <t xml:space="preserve"> Abidjan - Accra - Lomé - Cotonou (26.11.-14.12.2023)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</si>
</sst>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0" fillId="0" borderId="1" xfId="0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FD5C-E85A-4BD8-BD49-9504BBBFE87C}">
  <sheetPr codeName="Tabelle1"/>
  <dimension ref="A1:AH29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0" t="s">
        <v>82</v>
      </c>
      <c r="B1" s="51"/>
      <c r="C1" s="51"/>
      <c r="D1" s="51"/>
      <c r="E1" s="51"/>
      <c r="F1" s="52"/>
      <c r="G1" s="54" t="s">
        <v>83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4" t="s">
        <v>24</v>
      </c>
      <c r="H3" s="24" t="s">
        <v>21</v>
      </c>
      <c r="I3" s="24" t="s">
        <v>22</v>
      </c>
      <c r="J3" s="24" t="s">
        <v>6</v>
      </c>
      <c r="K3" s="25" t="s">
        <v>30</v>
      </c>
      <c r="L3" s="24" t="s">
        <v>34</v>
      </c>
      <c r="M3" s="24" t="s">
        <v>23</v>
      </c>
      <c r="N3" s="24" t="s">
        <v>12</v>
      </c>
      <c r="O3" s="25" t="s">
        <v>31</v>
      </c>
      <c r="P3" s="24" t="s">
        <v>33</v>
      </c>
      <c r="Q3" s="24" t="s">
        <v>13</v>
      </c>
      <c r="R3" s="25" t="s">
        <v>32</v>
      </c>
      <c r="S3" s="24" t="s">
        <v>7</v>
      </c>
      <c r="T3" s="24" t="s">
        <v>8</v>
      </c>
      <c r="U3" s="24" t="s">
        <v>29</v>
      </c>
      <c r="V3" s="24" t="s">
        <v>10</v>
      </c>
      <c r="W3" s="25" t="s">
        <v>25</v>
      </c>
      <c r="X3" s="24" t="s">
        <v>11</v>
      </c>
      <c r="Y3" s="25" t="s">
        <v>27</v>
      </c>
      <c r="Z3" s="25" t="s">
        <v>28</v>
      </c>
      <c r="AA3" s="24" t="s">
        <v>9</v>
      </c>
      <c r="AB3" s="26" t="s">
        <v>16</v>
      </c>
      <c r="AC3" s="26" t="s">
        <v>17</v>
      </c>
      <c r="AD3" s="26" t="s">
        <v>18</v>
      </c>
      <c r="AE3" s="26" t="s">
        <v>19</v>
      </c>
      <c r="AF3" s="27" t="s">
        <v>15</v>
      </c>
      <c r="AG3" s="27" t="s">
        <v>14</v>
      </c>
      <c r="AH3" s="27" t="s">
        <v>26</v>
      </c>
    </row>
    <row r="4" spans="1:34" ht="13">
      <c r="A4" s="47" t="s">
        <v>35</v>
      </c>
      <c r="B4" s="44">
        <v>45256</v>
      </c>
      <c r="C4" s="45"/>
      <c r="D4" s="46" t="s">
        <v>44</v>
      </c>
      <c r="E4" s="20"/>
      <c r="F4" s="23">
        <v>22</v>
      </c>
      <c r="G4" s="11">
        <f>SUM(F4)</f>
        <v>22</v>
      </c>
      <c r="H4" s="12">
        <f>ROUND(PRODUCT(G4/1),0)</f>
        <v>22</v>
      </c>
      <c r="I4" s="12">
        <f>ROUND(PRODUCT(G4/COUNT(F4:F4)),0)</f>
        <v>22</v>
      </c>
      <c r="J4" s="38">
        <v>7.013888888888889E-2</v>
      </c>
      <c r="K4" s="18">
        <f>SUM(J4)</f>
        <v>7.013888888888889E-2</v>
      </c>
      <c r="L4" s="43">
        <f t="shared" ref="L4:L22" si="0">IF(F4=0,0,ROUND(PRODUCT(F4/SUM(HOUR(J4),PRODUCT(MINUTE(J4)/60))),1))</f>
        <v>13.1</v>
      </c>
      <c r="M4" s="33">
        <v>27</v>
      </c>
      <c r="N4" s="38">
        <v>8.3333333333333329E-2</v>
      </c>
      <c r="O4" s="18">
        <f>SUM(N4)</f>
        <v>8.3333333333333329E-2</v>
      </c>
      <c r="P4" s="43">
        <f t="shared" ref="P4:P22" si="1">IF(F4=0,0,ROUND(PRODUCT(F4/SUM(HOUR(N4),PRODUCT(MINUTE(N4)/60))),1))</f>
        <v>11</v>
      </c>
      <c r="Q4" s="18">
        <f t="shared" ref="Q4:Q22" si="2">SUM(N4,-J4)</f>
        <v>1.3194444444444439E-2</v>
      </c>
      <c r="R4" s="18">
        <f>SUM(Q4)</f>
        <v>1.3194444444444439E-2</v>
      </c>
      <c r="S4" s="12"/>
      <c r="T4" s="9"/>
      <c r="U4" s="13">
        <f>SUM(-S4,T4)</f>
        <v>0</v>
      </c>
      <c r="V4" s="12"/>
      <c r="W4" s="13">
        <f>SUM(V4)</f>
        <v>0</v>
      </c>
      <c r="X4" s="12">
        <f t="shared" ref="X4:X22" si="3">SUM(S4,-T4,V4)</f>
        <v>0</v>
      </c>
      <c r="Y4" s="13">
        <f>SUM(X4)</f>
        <v>0</v>
      </c>
      <c r="Z4" s="13">
        <f t="shared" ref="Z4:Z22" si="4">SUM(V4,-X4)</f>
        <v>0</v>
      </c>
      <c r="AA4" s="12"/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47" t="s">
        <v>36</v>
      </c>
      <c r="B5" s="44">
        <v>45257</v>
      </c>
      <c r="C5" s="45" t="s">
        <v>44</v>
      </c>
      <c r="D5" s="47" t="s">
        <v>45</v>
      </c>
      <c r="E5" s="20" t="s">
        <v>46</v>
      </c>
      <c r="F5" s="23">
        <v>74</v>
      </c>
      <c r="G5" s="15">
        <f>SUM(G4,F5)</f>
        <v>96</v>
      </c>
      <c r="H5" s="9">
        <f>ROUND(PRODUCT(G5/2),0)</f>
        <v>48</v>
      </c>
      <c r="I5" s="9">
        <f>ROUND(PRODUCT(G5/COUNT(F4:F5)),0)</f>
        <v>48</v>
      </c>
      <c r="J5" s="39">
        <v>0.19444444444444445</v>
      </c>
      <c r="K5" s="19">
        <f t="shared" ref="K5:K22" si="5">SUM(J5,K4)</f>
        <v>0.26458333333333334</v>
      </c>
      <c r="L5" s="43">
        <f t="shared" si="0"/>
        <v>15.9</v>
      </c>
      <c r="M5" s="34">
        <v>24</v>
      </c>
      <c r="N5" s="39">
        <v>0.26041666666666669</v>
      </c>
      <c r="O5" s="19">
        <f t="shared" ref="O5:O22" si="6">SUM(N5,O4)</f>
        <v>0.34375</v>
      </c>
      <c r="P5" s="43">
        <f t="shared" si="1"/>
        <v>11.8</v>
      </c>
      <c r="Q5" s="19">
        <f t="shared" si="2"/>
        <v>6.5972222222222238E-2</v>
      </c>
      <c r="R5" s="19">
        <f>SUM(Q5,R4)</f>
        <v>7.9166666666666677E-2</v>
      </c>
      <c r="S5" s="9"/>
      <c r="T5" s="9"/>
      <c r="U5" s="16">
        <f>SUM(-S5,T5)</f>
        <v>0</v>
      </c>
      <c r="V5" s="28"/>
      <c r="W5" s="16">
        <f t="shared" ref="W5:W22" si="7">SUM(W4,V5)</f>
        <v>0</v>
      </c>
      <c r="X5" s="9">
        <f t="shared" si="3"/>
        <v>0</v>
      </c>
      <c r="Y5" s="16">
        <f>SUM(Y4,X5)</f>
        <v>0</v>
      </c>
      <c r="Z5" s="16">
        <f t="shared" si="4"/>
        <v>0</v>
      </c>
      <c r="AA5" s="9"/>
      <c r="AB5" s="9"/>
      <c r="AC5" s="29"/>
      <c r="AD5" s="28"/>
      <c r="AE5" s="29"/>
      <c r="AF5" s="29"/>
      <c r="AG5" s="29"/>
      <c r="AH5" s="17">
        <f>SUM(AG5,-AF5)</f>
        <v>0</v>
      </c>
    </row>
    <row r="6" spans="1:34" ht="13">
      <c r="A6" s="47" t="s">
        <v>37</v>
      </c>
      <c r="B6" s="44">
        <v>45258</v>
      </c>
      <c r="C6" s="45" t="s">
        <v>46</v>
      </c>
      <c r="D6" s="47" t="s">
        <v>47</v>
      </c>
      <c r="E6" s="20" t="s">
        <v>46</v>
      </c>
      <c r="F6" s="23">
        <v>52</v>
      </c>
      <c r="G6" s="15">
        <f t="shared" ref="G6:G22" si="8">SUM(G5,F6)</f>
        <v>148</v>
      </c>
      <c r="H6" s="9">
        <f>ROUND(PRODUCT(G6/3),0)</f>
        <v>49</v>
      </c>
      <c r="I6" s="9">
        <f>ROUND(PRODUCT(G6/COUNT(F4:F6)),0)</f>
        <v>49</v>
      </c>
      <c r="J6" s="39">
        <v>0.13263888888888889</v>
      </c>
      <c r="K6" s="19">
        <f t="shared" si="5"/>
        <v>0.39722222222222225</v>
      </c>
      <c r="L6" s="43">
        <f t="shared" si="0"/>
        <v>16.3</v>
      </c>
      <c r="M6" s="34">
        <v>22</v>
      </c>
      <c r="N6" s="39">
        <v>0.20833333333333334</v>
      </c>
      <c r="O6" s="19">
        <f t="shared" si="6"/>
        <v>0.55208333333333337</v>
      </c>
      <c r="P6" s="43">
        <f t="shared" si="1"/>
        <v>10.4</v>
      </c>
      <c r="Q6" s="19">
        <f t="shared" si="2"/>
        <v>7.5694444444444453E-2</v>
      </c>
      <c r="R6" s="19">
        <f t="shared" ref="R6:R22" si="9">SUM(Q6,R5)</f>
        <v>0.15486111111111112</v>
      </c>
      <c r="S6" s="9"/>
      <c r="T6" s="28"/>
      <c r="U6" s="16">
        <f t="shared" ref="U6:U22" si="10">SUM(-S6,T6)</f>
        <v>0</v>
      </c>
      <c r="V6" s="28"/>
      <c r="W6" s="16">
        <f t="shared" si="7"/>
        <v>0</v>
      </c>
      <c r="X6" s="9">
        <f t="shared" si="3"/>
        <v>0</v>
      </c>
      <c r="Y6" s="16">
        <f t="shared" ref="Y6:Y22" si="11">SUM(Y5,X6)</f>
        <v>0</v>
      </c>
      <c r="Z6" s="16">
        <f t="shared" si="4"/>
        <v>0</v>
      </c>
      <c r="AA6" s="9"/>
      <c r="AB6" s="9"/>
      <c r="AC6" s="29"/>
      <c r="AD6" s="28"/>
      <c r="AE6" s="29"/>
      <c r="AF6" s="29"/>
      <c r="AG6" s="29"/>
      <c r="AH6" s="17">
        <f t="shared" ref="AH6:AH22" si="12">SUM(AG6,-AF6)</f>
        <v>0</v>
      </c>
    </row>
    <row r="7" spans="1:34" ht="13">
      <c r="A7" s="47" t="s">
        <v>38</v>
      </c>
      <c r="B7" s="44">
        <v>45259</v>
      </c>
      <c r="C7" s="45" t="s">
        <v>46</v>
      </c>
      <c r="D7" s="47" t="s">
        <v>48</v>
      </c>
      <c r="E7" s="20" t="s">
        <v>49</v>
      </c>
      <c r="F7" s="23">
        <v>64</v>
      </c>
      <c r="G7" s="15">
        <f t="shared" si="8"/>
        <v>212</v>
      </c>
      <c r="H7" s="9">
        <f>ROUND(PRODUCT(G7/4),0)</f>
        <v>53</v>
      </c>
      <c r="I7" s="9">
        <f>ROUND(PRODUCT(G7/COUNT(F4:F7)),0)</f>
        <v>53</v>
      </c>
      <c r="J7" s="39">
        <v>0.16458333333333333</v>
      </c>
      <c r="K7" s="19">
        <f t="shared" si="5"/>
        <v>0.56180555555555556</v>
      </c>
      <c r="L7" s="43">
        <f t="shared" si="0"/>
        <v>16.2</v>
      </c>
      <c r="M7" s="35">
        <v>42</v>
      </c>
      <c r="N7" s="39">
        <v>0.22916666666666666</v>
      </c>
      <c r="O7" s="19">
        <f t="shared" si="6"/>
        <v>0.78125</v>
      </c>
      <c r="P7" s="43">
        <f t="shared" si="1"/>
        <v>11.6</v>
      </c>
      <c r="Q7" s="19">
        <f t="shared" si="2"/>
        <v>6.4583333333333326E-2</v>
      </c>
      <c r="R7" s="19">
        <f t="shared" si="9"/>
        <v>0.21944444444444444</v>
      </c>
      <c r="S7" s="28"/>
      <c r="T7" s="28"/>
      <c r="U7" s="16">
        <f t="shared" si="10"/>
        <v>0</v>
      </c>
      <c r="V7" s="28"/>
      <c r="W7" s="16">
        <f t="shared" si="7"/>
        <v>0</v>
      </c>
      <c r="X7" s="9">
        <f t="shared" si="3"/>
        <v>0</v>
      </c>
      <c r="Y7" s="16">
        <f t="shared" si="11"/>
        <v>0</v>
      </c>
      <c r="Z7" s="16">
        <f t="shared" si="4"/>
        <v>0</v>
      </c>
      <c r="AA7" s="28"/>
      <c r="AB7" s="28"/>
      <c r="AC7" s="29"/>
      <c r="AD7" s="28"/>
      <c r="AE7" s="29"/>
      <c r="AF7" s="29"/>
      <c r="AG7" s="29"/>
      <c r="AH7" s="17">
        <f t="shared" si="12"/>
        <v>0</v>
      </c>
    </row>
    <row r="8" spans="1:34" ht="13">
      <c r="A8" s="47" t="s">
        <v>39</v>
      </c>
      <c r="B8" s="44">
        <v>45260</v>
      </c>
      <c r="C8" s="45" t="s">
        <v>49</v>
      </c>
      <c r="D8" s="47" t="s">
        <v>50</v>
      </c>
      <c r="E8" s="20" t="s">
        <v>51</v>
      </c>
      <c r="F8" s="23">
        <v>65</v>
      </c>
      <c r="G8" s="15">
        <f t="shared" si="8"/>
        <v>277</v>
      </c>
      <c r="H8" s="9">
        <f>ROUND(PRODUCT(G8/5),0)</f>
        <v>55</v>
      </c>
      <c r="I8" s="9">
        <f>ROUND(PRODUCT(G8/COUNT(F4:F8)),0)</f>
        <v>55</v>
      </c>
      <c r="J8" s="39">
        <v>0.15902777777777777</v>
      </c>
      <c r="K8" s="19">
        <f t="shared" si="5"/>
        <v>0.72083333333333333</v>
      </c>
      <c r="L8" s="43">
        <f t="shared" si="0"/>
        <v>17</v>
      </c>
      <c r="M8" s="35">
        <v>52</v>
      </c>
      <c r="N8" s="39">
        <v>0.25</v>
      </c>
      <c r="O8" s="19">
        <f t="shared" si="6"/>
        <v>1.03125</v>
      </c>
      <c r="P8" s="43">
        <f t="shared" si="1"/>
        <v>10.8</v>
      </c>
      <c r="Q8" s="19">
        <f t="shared" si="2"/>
        <v>9.0972222222222232E-2</v>
      </c>
      <c r="R8" s="19">
        <f t="shared" si="9"/>
        <v>0.31041666666666667</v>
      </c>
      <c r="S8" s="28"/>
      <c r="T8" s="28"/>
      <c r="U8" s="16">
        <f t="shared" si="10"/>
        <v>0</v>
      </c>
      <c r="V8" s="28"/>
      <c r="W8" s="16">
        <f t="shared" si="7"/>
        <v>0</v>
      </c>
      <c r="X8" s="9">
        <f t="shared" si="3"/>
        <v>0</v>
      </c>
      <c r="Y8" s="16">
        <f t="shared" si="11"/>
        <v>0</v>
      </c>
      <c r="Z8" s="16">
        <f t="shared" si="4"/>
        <v>0</v>
      </c>
      <c r="AA8" s="28"/>
      <c r="AB8" s="28"/>
      <c r="AC8" s="29"/>
      <c r="AD8" s="28"/>
      <c r="AE8" s="29"/>
      <c r="AF8" s="29"/>
      <c r="AG8" s="29"/>
      <c r="AH8" s="17">
        <f t="shared" si="12"/>
        <v>0</v>
      </c>
    </row>
    <row r="9" spans="1:34" ht="13">
      <c r="A9" s="47" t="s">
        <v>40</v>
      </c>
      <c r="B9" s="44">
        <v>45261</v>
      </c>
      <c r="C9" s="45" t="s">
        <v>51</v>
      </c>
      <c r="D9" s="47"/>
      <c r="E9" s="20" t="s">
        <v>52</v>
      </c>
      <c r="F9" s="23">
        <v>78</v>
      </c>
      <c r="G9" s="15">
        <f t="shared" si="8"/>
        <v>355</v>
      </c>
      <c r="H9" s="9">
        <f>ROUND(PRODUCT(G9/6),0)</f>
        <v>59</v>
      </c>
      <c r="I9" s="9">
        <f>ROUND(PRODUCT(G9/COUNT(F4:F9)),0)</f>
        <v>59</v>
      </c>
      <c r="J9" s="39">
        <v>0.17500000000000002</v>
      </c>
      <c r="K9" s="19">
        <f t="shared" si="5"/>
        <v>0.89583333333333337</v>
      </c>
      <c r="L9" s="43">
        <f t="shared" si="0"/>
        <v>18.600000000000001</v>
      </c>
      <c r="M9" s="35">
        <v>35</v>
      </c>
      <c r="N9" s="39">
        <v>0.23958333333333334</v>
      </c>
      <c r="O9" s="19">
        <f t="shared" si="6"/>
        <v>1.2708333333333333</v>
      </c>
      <c r="P9" s="43">
        <f t="shared" si="1"/>
        <v>13.6</v>
      </c>
      <c r="Q9" s="19">
        <f t="shared" si="2"/>
        <v>6.4583333333333326E-2</v>
      </c>
      <c r="R9" s="19">
        <f t="shared" si="9"/>
        <v>0.375</v>
      </c>
      <c r="S9" s="28"/>
      <c r="T9" s="28"/>
      <c r="U9" s="16">
        <f t="shared" si="10"/>
        <v>0</v>
      </c>
      <c r="V9" s="28"/>
      <c r="W9" s="16">
        <f t="shared" si="7"/>
        <v>0</v>
      </c>
      <c r="X9" s="9">
        <f t="shared" si="3"/>
        <v>0</v>
      </c>
      <c r="Y9" s="16">
        <f t="shared" si="11"/>
        <v>0</v>
      </c>
      <c r="Z9" s="16">
        <f t="shared" si="4"/>
        <v>0</v>
      </c>
      <c r="AA9" s="28"/>
      <c r="AB9" s="28"/>
      <c r="AC9" s="29"/>
      <c r="AD9" s="28"/>
      <c r="AE9" s="29"/>
      <c r="AF9" s="29"/>
      <c r="AG9" s="29"/>
      <c r="AH9" s="17">
        <f t="shared" si="12"/>
        <v>0</v>
      </c>
    </row>
    <row r="10" spans="1:34" ht="13">
      <c r="A10" s="47" t="s">
        <v>41</v>
      </c>
      <c r="B10" s="44">
        <v>45262</v>
      </c>
      <c r="C10" s="45" t="s">
        <v>52</v>
      </c>
      <c r="D10" s="47" t="s">
        <v>53</v>
      </c>
      <c r="E10" s="20" t="s">
        <v>54</v>
      </c>
      <c r="F10" s="23">
        <v>98</v>
      </c>
      <c r="G10" s="15">
        <f t="shared" si="8"/>
        <v>453</v>
      </c>
      <c r="H10" s="9">
        <f>ROUND(PRODUCT(G10/7),0)</f>
        <v>65</v>
      </c>
      <c r="I10" s="9">
        <f>ROUND(PRODUCT(G10/COUNT(F4:F10)),0)</f>
        <v>65</v>
      </c>
      <c r="J10" s="39">
        <v>0.2590277777777778</v>
      </c>
      <c r="K10" s="19">
        <f t="shared" si="5"/>
        <v>1.1548611111111111</v>
      </c>
      <c r="L10" s="43">
        <f t="shared" si="0"/>
        <v>15.8</v>
      </c>
      <c r="M10" s="34">
        <v>43</v>
      </c>
      <c r="N10" s="39">
        <v>0.36458333333333331</v>
      </c>
      <c r="O10" s="19">
        <f t="shared" si="6"/>
        <v>1.6354166666666665</v>
      </c>
      <c r="P10" s="43">
        <f t="shared" si="1"/>
        <v>11.2</v>
      </c>
      <c r="Q10" s="19">
        <f t="shared" si="2"/>
        <v>0.10555555555555551</v>
      </c>
      <c r="R10" s="19">
        <f t="shared" si="9"/>
        <v>0.48055555555555551</v>
      </c>
      <c r="S10" s="28"/>
      <c r="T10" s="9"/>
      <c r="U10" s="16">
        <f t="shared" si="10"/>
        <v>0</v>
      </c>
      <c r="V10" s="28"/>
      <c r="W10" s="16">
        <f t="shared" si="7"/>
        <v>0</v>
      </c>
      <c r="X10" s="9">
        <f t="shared" si="3"/>
        <v>0</v>
      </c>
      <c r="Y10" s="16">
        <f t="shared" si="11"/>
        <v>0</v>
      </c>
      <c r="Z10" s="16">
        <f t="shared" si="4"/>
        <v>0</v>
      </c>
      <c r="AA10" s="9"/>
      <c r="AB10" s="9"/>
      <c r="AC10" s="29"/>
      <c r="AD10" s="28"/>
      <c r="AE10" s="29"/>
      <c r="AF10" s="29"/>
      <c r="AG10" s="29"/>
      <c r="AH10" s="17">
        <f t="shared" si="12"/>
        <v>0</v>
      </c>
    </row>
    <row r="11" spans="1:34" ht="13">
      <c r="A11" s="49" t="s">
        <v>42</v>
      </c>
      <c r="B11" s="44">
        <v>45263</v>
      </c>
      <c r="C11" s="45" t="s">
        <v>54</v>
      </c>
      <c r="D11" s="47" t="s">
        <v>55</v>
      </c>
      <c r="E11" s="20" t="s">
        <v>56</v>
      </c>
      <c r="F11" s="23">
        <v>83</v>
      </c>
      <c r="G11" s="15">
        <f t="shared" si="8"/>
        <v>536</v>
      </c>
      <c r="H11" s="9">
        <f>ROUND(PRODUCT(G11/8),0)</f>
        <v>67</v>
      </c>
      <c r="I11" s="9">
        <f>ROUND(PRODUCT(G11/COUNT(F4:F11)),0)</f>
        <v>67</v>
      </c>
      <c r="J11" s="39">
        <v>0.20833333333333334</v>
      </c>
      <c r="K11" s="19">
        <f t="shared" si="5"/>
        <v>1.3631944444444444</v>
      </c>
      <c r="L11" s="43">
        <f t="shared" si="0"/>
        <v>16.600000000000001</v>
      </c>
      <c r="M11" s="35">
        <v>42</v>
      </c>
      <c r="N11" s="39">
        <v>0.36458333333333331</v>
      </c>
      <c r="O11" s="19">
        <f t="shared" si="6"/>
        <v>1.9999999999999998</v>
      </c>
      <c r="P11" s="43">
        <f t="shared" si="1"/>
        <v>9.5</v>
      </c>
      <c r="Q11" s="19">
        <f t="shared" si="2"/>
        <v>0.15624999999999997</v>
      </c>
      <c r="R11" s="19">
        <f t="shared" si="9"/>
        <v>0.63680555555555551</v>
      </c>
      <c r="S11" s="28"/>
      <c r="T11" s="28"/>
      <c r="U11" s="16">
        <f t="shared" si="10"/>
        <v>0</v>
      </c>
      <c r="V11" s="28"/>
      <c r="W11" s="16">
        <f t="shared" si="7"/>
        <v>0</v>
      </c>
      <c r="X11" s="9">
        <f t="shared" si="3"/>
        <v>0</v>
      </c>
      <c r="Y11" s="16">
        <f t="shared" si="11"/>
        <v>0</v>
      </c>
      <c r="Z11" s="16">
        <f t="shared" si="4"/>
        <v>0</v>
      </c>
      <c r="AA11" s="28"/>
      <c r="AB11" s="28"/>
      <c r="AC11" s="29"/>
      <c r="AD11" s="28"/>
      <c r="AE11" s="29"/>
      <c r="AF11" s="29"/>
      <c r="AG11" s="29"/>
      <c r="AH11" s="17">
        <f t="shared" si="12"/>
        <v>0</v>
      </c>
    </row>
    <row r="12" spans="1:34" ht="13">
      <c r="A12" s="49" t="s">
        <v>43</v>
      </c>
      <c r="B12" s="44">
        <v>45264</v>
      </c>
      <c r="C12" s="45" t="s">
        <v>56</v>
      </c>
      <c r="D12" s="47" t="s">
        <v>57</v>
      </c>
      <c r="E12" s="20" t="s">
        <v>58</v>
      </c>
      <c r="F12" s="23">
        <v>92</v>
      </c>
      <c r="G12" s="15">
        <f t="shared" si="8"/>
        <v>628</v>
      </c>
      <c r="H12" s="9">
        <f>ROUND(PRODUCT(G12/9),0)</f>
        <v>70</v>
      </c>
      <c r="I12" s="9">
        <f>ROUND(PRODUCT(G12/COUNT(F4:F12)),0)</f>
        <v>70</v>
      </c>
      <c r="J12" s="39">
        <v>0.22916666666666666</v>
      </c>
      <c r="K12" s="19">
        <f t="shared" si="5"/>
        <v>1.5923611111111111</v>
      </c>
      <c r="L12" s="43">
        <f t="shared" si="0"/>
        <v>16.7</v>
      </c>
      <c r="M12" s="34">
        <v>37</v>
      </c>
      <c r="N12" s="39">
        <v>0.35416666666666669</v>
      </c>
      <c r="O12" s="19">
        <f t="shared" si="6"/>
        <v>2.3541666666666665</v>
      </c>
      <c r="P12" s="43">
        <f t="shared" si="1"/>
        <v>10.8</v>
      </c>
      <c r="Q12" s="19">
        <f t="shared" si="2"/>
        <v>0.12500000000000003</v>
      </c>
      <c r="R12" s="19">
        <f t="shared" si="9"/>
        <v>0.76180555555555551</v>
      </c>
      <c r="S12" s="9"/>
      <c r="T12" s="9"/>
      <c r="U12" s="16">
        <f t="shared" si="10"/>
        <v>0</v>
      </c>
      <c r="V12" s="28"/>
      <c r="W12" s="16">
        <f t="shared" si="7"/>
        <v>0</v>
      </c>
      <c r="X12" s="9">
        <f t="shared" si="3"/>
        <v>0</v>
      </c>
      <c r="Y12" s="16">
        <f t="shared" si="11"/>
        <v>0</v>
      </c>
      <c r="Z12" s="16">
        <f t="shared" si="4"/>
        <v>0</v>
      </c>
      <c r="AA12" s="9"/>
      <c r="AB12" s="9"/>
      <c r="AC12" s="29"/>
      <c r="AD12" s="28"/>
      <c r="AE12" s="29"/>
      <c r="AF12" s="29"/>
      <c r="AG12" s="29"/>
      <c r="AH12" s="17">
        <f t="shared" si="12"/>
        <v>0</v>
      </c>
    </row>
    <row r="13" spans="1:34" ht="13">
      <c r="A13" s="4" t="s">
        <v>59</v>
      </c>
      <c r="B13" s="44">
        <v>45265</v>
      </c>
      <c r="C13" s="45" t="s">
        <v>58</v>
      </c>
      <c r="D13" s="47"/>
      <c r="E13" s="20" t="s">
        <v>60</v>
      </c>
      <c r="F13" s="23">
        <v>65</v>
      </c>
      <c r="G13" s="15">
        <f t="shared" si="8"/>
        <v>693</v>
      </c>
      <c r="H13" s="9">
        <f>ROUND(PRODUCT(G13/10),0)</f>
        <v>69</v>
      </c>
      <c r="I13" s="9">
        <f>ROUND(PRODUCT(G13/COUNT(F4:F13)),0)</f>
        <v>69</v>
      </c>
      <c r="J13" s="39">
        <v>0.1451388888888889</v>
      </c>
      <c r="K13" s="19">
        <f t="shared" si="5"/>
        <v>1.7375</v>
      </c>
      <c r="L13" s="43">
        <f t="shared" si="0"/>
        <v>18.7</v>
      </c>
      <c r="M13" s="35">
        <v>40</v>
      </c>
      <c r="N13" s="39">
        <v>0.1875</v>
      </c>
      <c r="O13" s="19">
        <f t="shared" si="6"/>
        <v>2.5416666666666665</v>
      </c>
      <c r="P13" s="43">
        <f t="shared" si="1"/>
        <v>14.4</v>
      </c>
      <c r="Q13" s="19">
        <f t="shared" si="2"/>
        <v>4.2361111111111099E-2</v>
      </c>
      <c r="R13" s="19">
        <f t="shared" si="9"/>
        <v>0.80416666666666659</v>
      </c>
      <c r="S13" s="28"/>
      <c r="T13" s="28"/>
      <c r="U13" s="16">
        <f t="shared" si="10"/>
        <v>0</v>
      </c>
      <c r="V13" s="28"/>
      <c r="W13" s="16">
        <f t="shared" si="7"/>
        <v>0</v>
      </c>
      <c r="X13" s="9">
        <f t="shared" si="3"/>
        <v>0</v>
      </c>
      <c r="Y13" s="16">
        <f t="shared" si="11"/>
        <v>0</v>
      </c>
      <c r="Z13" s="16">
        <f t="shared" si="4"/>
        <v>0</v>
      </c>
      <c r="AA13" s="28"/>
      <c r="AB13" s="28"/>
      <c r="AC13" s="29"/>
      <c r="AD13" s="28"/>
      <c r="AE13" s="29"/>
      <c r="AF13" s="29"/>
      <c r="AG13" s="29"/>
      <c r="AH13" s="17">
        <f t="shared" si="12"/>
        <v>0</v>
      </c>
    </row>
    <row r="14" spans="1:34" ht="13">
      <c r="A14" s="4" t="s">
        <v>61</v>
      </c>
      <c r="B14" s="44">
        <v>45266</v>
      </c>
      <c r="C14" s="45" t="s">
        <v>60</v>
      </c>
      <c r="D14" s="47" t="s">
        <v>62</v>
      </c>
      <c r="E14" s="20" t="s">
        <v>63</v>
      </c>
      <c r="F14" s="23">
        <v>92</v>
      </c>
      <c r="G14" s="15">
        <f t="shared" si="8"/>
        <v>785</v>
      </c>
      <c r="H14" s="9">
        <f>ROUND(PRODUCT(G14/11),0)</f>
        <v>71</v>
      </c>
      <c r="I14" s="9">
        <f>ROUND(PRODUCT(G14/COUNT(F4:F14)),0)</f>
        <v>71</v>
      </c>
      <c r="J14" s="39">
        <v>0.21527777777777779</v>
      </c>
      <c r="K14" s="19">
        <f t="shared" si="5"/>
        <v>1.9527777777777779</v>
      </c>
      <c r="L14" s="43">
        <f t="shared" si="0"/>
        <v>17.8</v>
      </c>
      <c r="M14" s="35">
        <v>36</v>
      </c>
      <c r="N14" s="39">
        <v>0.34375</v>
      </c>
      <c r="O14" s="19">
        <f t="shared" si="6"/>
        <v>2.8854166666666665</v>
      </c>
      <c r="P14" s="43">
        <f t="shared" si="1"/>
        <v>11.2</v>
      </c>
      <c r="Q14" s="19">
        <f t="shared" si="2"/>
        <v>0.12847222222222221</v>
      </c>
      <c r="R14" s="19">
        <f t="shared" si="9"/>
        <v>0.9326388888888888</v>
      </c>
      <c r="S14" s="28"/>
      <c r="T14" s="28"/>
      <c r="U14" s="16">
        <f t="shared" si="10"/>
        <v>0</v>
      </c>
      <c r="V14" s="28"/>
      <c r="W14" s="16">
        <f t="shared" si="7"/>
        <v>0</v>
      </c>
      <c r="X14" s="9">
        <f t="shared" si="3"/>
        <v>0</v>
      </c>
      <c r="Y14" s="16">
        <f t="shared" si="11"/>
        <v>0</v>
      </c>
      <c r="Z14" s="16">
        <f t="shared" si="4"/>
        <v>0</v>
      </c>
      <c r="AA14" s="28"/>
      <c r="AB14" s="28"/>
      <c r="AC14" s="29"/>
      <c r="AD14" s="28"/>
      <c r="AE14" s="29"/>
      <c r="AF14" s="29"/>
      <c r="AG14" s="29"/>
      <c r="AH14" s="17">
        <f t="shared" si="12"/>
        <v>0</v>
      </c>
    </row>
    <row r="15" spans="1:34" ht="13">
      <c r="A15" s="4" t="s">
        <v>64</v>
      </c>
      <c r="B15" s="44">
        <v>45267</v>
      </c>
      <c r="C15" s="45" t="s">
        <v>63</v>
      </c>
      <c r="D15" s="47" t="s">
        <v>65</v>
      </c>
      <c r="E15" s="20" t="s">
        <v>66</v>
      </c>
      <c r="F15" s="23">
        <v>75</v>
      </c>
      <c r="G15" s="15">
        <f t="shared" si="8"/>
        <v>860</v>
      </c>
      <c r="H15" s="9">
        <f>ROUND(PRODUCT(G15/12),0)</f>
        <v>72</v>
      </c>
      <c r="I15" s="9">
        <f>ROUND(PRODUCT(G15/COUNT(F4:F15)),0)</f>
        <v>72</v>
      </c>
      <c r="J15" s="39">
        <v>0.18333333333333335</v>
      </c>
      <c r="K15" s="19">
        <f t="shared" si="5"/>
        <v>2.1361111111111111</v>
      </c>
      <c r="L15" s="43">
        <f t="shared" si="0"/>
        <v>17</v>
      </c>
      <c r="M15" s="34">
        <v>40</v>
      </c>
      <c r="N15" s="39">
        <v>0.25</v>
      </c>
      <c r="O15" s="19">
        <f t="shared" si="6"/>
        <v>3.1354166666666665</v>
      </c>
      <c r="P15" s="43">
        <f t="shared" si="1"/>
        <v>12.5</v>
      </c>
      <c r="Q15" s="19">
        <f t="shared" si="2"/>
        <v>6.6666666666666652E-2</v>
      </c>
      <c r="R15" s="19">
        <f t="shared" si="9"/>
        <v>0.99930555555555545</v>
      </c>
      <c r="S15" s="9"/>
      <c r="T15" s="9"/>
      <c r="U15" s="16">
        <f t="shared" si="10"/>
        <v>0</v>
      </c>
      <c r="V15" s="28"/>
      <c r="W15" s="16">
        <f t="shared" si="7"/>
        <v>0</v>
      </c>
      <c r="X15" s="9">
        <f t="shared" si="3"/>
        <v>0</v>
      </c>
      <c r="Y15" s="16">
        <f t="shared" si="11"/>
        <v>0</v>
      </c>
      <c r="Z15" s="16">
        <f t="shared" si="4"/>
        <v>0</v>
      </c>
      <c r="AA15" s="9"/>
      <c r="AB15" s="9"/>
      <c r="AC15" s="29"/>
      <c r="AD15" s="28"/>
      <c r="AE15" s="29"/>
      <c r="AF15" s="29"/>
      <c r="AG15" s="29"/>
      <c r="AH15" s="17">
        <f t="shared" si="12"/>
        <v>0</v>
      </c>
    </row>
    <row r="16" spans="1:34" ht="13">
      <c r="A16" s="4" t="s">
        <v>67</v>
      </c>
      <c r="B16" s="44">
        <v>45268</v>
      </c>
      <c r="C16" s="45" t="s">
        <v>66</v>
      </c>
      <c r="D16" s="47" t="s">
        <v>68</v>
      </c>
      <c r="E16" s="20" t="s">
        <v>69</v>
      </c>
      <c r="F16" s="23">
        <v>47</v>
      </c>
      <c r="G16" s="15">
        <f t="shared" si="8"/>
        <v>907</v>
      </c>
      <c r="H16" s="9">
        <f>ROUND(PRODUCT(G16/13),0)</f>
        <v>70</v>
      </c>
      <c r="I16" s="9">
        <f>ROUND(PRODUCT(G16/COUNT(F4:F16)),0)</f>
        <v>70</v>
      </c>
      <c r="J16" s="39">
        <v>0.15138888888888888</v>
      </c>
      <c r="K16" s="19">
        <f t="shared" si="5"/>
        <v>2.2875000000000001</v>
      </c>
      <c r="L16" s="43">
        <f t="shared" si="0"/>
        <v>12.9</v>
      </c>
      <c r="M16" s="34">
        <v>49</v>
      </c>
      <c r="N16" s="39">
        <v>0.23958333333333334</v>
      </c>
      <c r="O16" s="19">
        <f t="shared" si="6"/>
        <v>3.375</v>
      </c>
      <c r="P16" s="43">
        <f t="shared" si="1"/>
        <v>8.1999999999999993</v>
      </c>
      <c r="Q16" s="19">
        <f t="shared" si="2"/>
        <v>8.8194444444444464E-2</v>
      </c>
      <c r="R16" s="19">
        <f t="shared" si="9"/>
        <v>1.0874999999999999</v>
      </c>
      <c r="S16" s="9"/>
      <c r="T16" s="9"/>
      <c r="U16" s="16">
        <f t="shared" si="10"/>
        <v>0</v>
      </c>
      <c r="V16" s="28"/>
      <c r="W16" s="16">
        <f t="shared" si="7"/>
        <v>0</v>
      </c>
      <c r="X16" s="9">
        <f t="shared" si="3"/>
        <v>0</v>
      </c>
      <c r="Y16" s="16">
        <f t="shared" si="11"/>
        <v>0</v>
      </c>
      <c r="Z16" s="16">
        <f t="shared" si="4"/>
        <v>0</v>
      </c>
      <c r="AA16" s="9"/>
      <c r="AB16" s="9"/>
      <c r="AC16" s="29"/>
      <c r="AD16" s="28"/>
      <c r="AE16" s="29"/>
      <c r="AF16" s="29"/>
      <c r="AG16" s="29"/>
      <c r="AH16" s="17">
        <f t="shared" si="12"/>
        <v>0</v>
      </c>
    </row>
    <row r="17" spans="1:34" ht="13">
      <c r="A17" s="4" t="s">
        <v>70</v>
      </c>
      <c r="B17" s="44">
        <v>45269</v>
      </c>
      <c r="C17" s="45"/>
      <c r="D17" s="47" t="s">
        <v>69</v>
      </c>
      <c r="E17" s="20"/>
      <c r="F17" s="23"/>
      <c r="G17" s="15">
        <f t="shared" si="8"/>
        <v>907</v>
      </c>
      <c r="H17" s="9">
        <f>ROUND(PRODUCT(G17/14),0)</f>
        <v>65</v>
      </c>
      <c r="I17" s="9">
        <f>ROUND(PRODUCT(G17/COUNT(F4:F17)),0)</f>
        <v>70</v>
      </c>
      <c r="J17" s="39"/>
      <c r="K17" s="19">
        <f t="shared" si="5"/>
        <v>2.2875000000000001</v>
      </c>
      <c r="L17" s="43">
        <f t="shared" si="0"/>
        <v>0</v>
      </c>
      <c r="M17" s="34"/>
      <c r="N17" s="39"/>
      <c r="O17" s="19">
        <f t="shared" si="6"/>
        <v>3.375</v>
      </c>
      <c r="P17" s="43">
        <f t="shared" si="1"/>
        <v>0</v>
      </c>
      <c r="Q17" s="19">
        <f t="shared" si="2"/>
        <v>0</v>
      </c>
      <c r="R17" s="19">
        <f t="shared" si="9"/>
        <v>1.0874999999999999</v>
      </c>
      <c r="S17" s="9"/>
      <c r="T17" s="9"/>
      <c r="U17" s="16">
        <f t="shared" si="10"/>
        <v>0</v>
      </c>
      <c r="V17" s="28"/>
      <c r="W17" s="16">
        <f t="shared" si="7"/>
        <v>0</v>
      </c>
      <c r="X17" s="9">
        <f t="shared" si="3"/>
        <v>0</v>
      </c>
      <c r="Y17" s="16">
        <f t="shared" si="11"/>
        <v>0</v>
      </c>
      <c r="Z17" s="16">
        <f t="shared" si="4"/>
        <v>0</v>
      </c>
      <c r="AA17" s="9"/>
      <c r="AB17" s="9"/>
      <c r="AC17" s="29"/>
      <c r="AD17" s="28"/>
      <c r="AE17" s="29"/>
      <c r="AF17" s="29"/>
      <c r="AG17" s="29"/>
      <c r="AH17" s="17">
        <f t="shared" si="12"/>
        <v>0</v>
      </c>
    </row>
    <row r="18" spans="1:34" ht="13">
      <c r="A18" s="4" t="s">
        <v>71</v>
      </c>
      <c r="B18" s="44">
        <v>45270</v>
      </c>
      <c r="C18" s="45"/>
      <c r="D18" s="47" t="s">
        <v>69</v>
      </c>
      <c r="E18" s="20"/>
      <c r="F18" s="23"/>
      <c r="G18" s="15">
        <f t="shared" si="8"/>
        <v>907</v>
      </c>
      <c r="H18" s="9">
        <f>ROUND(PRODUCT(G18/15),0)</f>
        <v>60</v>
      </c>
      <c r="I18" s="9">
        <f>ROUND(PRODUCT(G18/COUNT(F4:F18)),0)</f>
        <v>70</v>
      </c>
      <c r="J18" s="39"/>
      <c r="K18" s="19">
        <f t="shared" si="5"/>
        <v>2.2875000000000001</v>
      </c>
      <c r="L18" s="43">
        <f t="shared" si="0"/>
        <v>0</v>
      </c>
      <c r="M18" s="34"/>
      <c r="N18" s="39"/>
      <c r="O18" s="19">
        <f t="shared" si="6"/>
        <v>3.375</v>
      </c>
      <c r="P18" s="43">
        <f t="shared" si="1"/>
        <v>0</v>
      </c>
      <c r="Q18" s="19">
        <f t="shared" si="2"/>
        <v>0</v>
      </c>
      <c r="R18" s="19">
        <f t="shared" si="9"/>
        <v>1.0874999999999999</v>
      </c>
      <c r="S18" s="28"/>
      <c r="T18" s="9"/>
      <c r="U18" s="16">
        <f t="shared" si="10"/>
        <v>0</v>
      </c>
      <c r="V18" s="28"/>
      <c r="W18" s="16">
        <f t="shared" si="7"/>
        <v>0</v>
      </c>
      <c r="X18" s="9">
        <f t="shared" si="3"/>
        <v>0</v>
      </c>
      <c r="Y18" s="16">
        <f t="shared" si="11"/>
        <v>0</v>
      </c>
      <c r="Z18" s="16">
        <f t="shared" si="4"/>
        <v>0</v>
      </c>
      <c r="AA18" s="9"/>
      <c r="AB18" s="9"/>
      <c r="AC18" s="29"/>
      <c r="AD18" s="28"/>
      <c r="AE18" s="29"/>
      <c r="AF18" s="29"/>
      <c r="AG18" s="29"/>
      <c r="AH18" s="17">
        <f t="shared" si="12"/>
        <v>0</v>
      </c>
    </row>
    <row r="19" spans="1:34" ht="13">
      <c r="A19" s="4" t="s">
        <v>72</v>
      </c>
      <c r="B19" s="44">
        <v>45271</v>
      </c>
      <c r="C19" s="45" t="s">
        <v>69</v>
      </c>
      <c r="D19" s="47"/>
      <c r="E19" s="20" t="s">
        <v>73</v>
      </c>
      <c r="F19" s="23">
        <v>81</v>
      </c>
      <c r="G19" s="15">
        <f t="shared" si="8"/>
        <v>988</v>
      </c>
      <c r="H19" s="9">
        <f>ROUND(PRODUCT(G19/16),0)</f>
        <v>62</v>
      </c>
      <c r="I19" s="9">
        <f>ROUND(PRODUCT(G19/COUNT(F4:F19)),0)</f>
        <v>71</v>
      </c>
      <c r="J19" s="39">
        <v>0.16666666666666666</v>
      </c>
      <c r="K19" s="19">
        <f t="shared" si="5"/>
        <v>2.4541666666666666</v>
      </c>
      <c r="L19" s="43">
        <f t="shared" si="0"/>
        <v>20.3</v>
      </c>
      <c r="M19" s="34">
        <v>47</v>
      </c>
      <c r="N19" s="39">
        <v>0.21875</v>
      </c>
      <c r="O19" s="19">
        <f t="shared" si="6"/>
        <v>3.59375</v>
      </c>
      <c r="P19" s="43">
        <f t="shared" si="1"/>
        <v>15.4</v>
      </c>
      <c r="Q19" s="19">
        <f t="shared" si="2"/>
        <v>5.2083333333333343E-2</v>
      </c>
      <c r="R19" s="19">
        <f t="shared" si="9"/>
        <v>1.1395833333333332</v>
      </c>
      <c r="S19" s="9"/>
      <c r="T19" s="9"/>
      <c r="U19" s="16">
        <f t="shared" si="10"/>
        <v>0</v>
      </c>
      <c r="V19" s="28"/>
      <c r="W19" s="16">
        <f t="shared" si="7"/>
        <v>0</v>
      </c>
      <c r="X19" s="9">
        <f t="shared" si="3"/>
        <v>0</v>
      </c>
      <c r="Y19" s="16">
        <f t="shared" si="11"/>
        <v>0</v>
      </c>
      <c r="Z19" s="16">
        <f t="shared" si="4"/>
        <v>0</v>
      </c>
      <c r="AA19" s="9"/>
      <c r="AB19" s="9"/>
      <c r="AC19" s="29"/>
      <c r="AD19" s="28"/>
      <c r="AE19" s="29"/>
      <c r="AF19" s="29"/>
      <c r="AG19" s="29"/>
      <c r="AH19" s="17">
        <f t="shared" si="12"/>
        <v>0</v>
      </c>
    </row>
    <row r="20" spans="1:34" ht="13">
      <c r="A20" s="4" t="s">
        <v>74</v>
      </c>
      <c r="B20" s="44">
        <v>45272</v>
      </c>
      <c r="C20" s="45" t="s">
        <v>73</v>
      </c>
      <c r="D20" s="47" t="s">
        <v>75</v>
      </c>
      <c r="E20" s="20" t="s">
        <v>76</v>
      </c>
      <c r="F20" s="23">
        <v>115</v>
      </c>
      <c r="G20" s="15">
        <f t="shared" si="8"/>
        <v>1103</v>
      </c>
      <c r="H20" s="9">
        <f>ROUND(PRODUCT(G20/17),0)</f>
        <v>65</v>
      </c>
      <c r="I20" s="9">
        <f>ROUND(PRODUCT(G20/COUNT(F4:F20)),0)</f>
        <v>74</v>
      </c>
      <c r="J20" s="39">
        <v>0.25</v>
      </c>
      <c r="K20" s="19">
        <f t="shared" si="5"/>
        <v>2.7041666666666666</v>
      </c>
      <c r="L20" s="43">
        <f t="shared" si="0"/>
        <v>19.2</v>
      </c>
      <c r="M20" s="34">
        <v>42</v>
      </c>
      <c r="N20" s="39">
        <v>0.3611111111111111</v>
      </c>
      <c r="O20" s="19">
        <f t="shared" si="6"/>
        <v>3.9548611111111112</v>
      </c>
      <c r="P20" s="43">
        <f t="shared" si="1"/>
        <v>13.3</v>
      </c>
      <c r="Q20" s="19">
        <f t="shared" si="2"/>
        <v>0.1111111111111111</v>
      </c>
      <c r="R20" s="19">
        <f t="shared" si="9"/>
        <v>1.2506944444444443</v>
      </c>
      <c r="S20" s="9"/>
      <c r="T20" s="9"/>
      <c r="U20" s="16">
        <f t="shared" si="10"/>
        <v>0</v>
      </c>
      <c r="V20" s="28"/>
      <c r="W20" s="16">
        <f t="shared" si="7"/>
        <v>0</v>
      </c>
      <c r="X20" s="9">
        <f t="shared" si="3"/>
        <v>0</v>
      </c>
      <c r="Y20" s="16">
        <f t="shared" si="11"/>
        <v>0</v>
      </c>
      <c r="Z20" s="16">
        <f t="shared" si="4"/>
        <v>0</v>
      </c>
      <c r="AA20" s="9"/>
      <c r="AB20" s="9"/>
      <c r="AC20" s="29"/>
      <c r="AD20" s="28"/>
      <c r="AE20" s="29"/>
      <c r="AF20" s="29"/>
      <c r="AG20" s="29"/>
      <c r="AH20" s="17">
        <f t="shared" si="12"/>
        <v>0</v>
      </c>
    </row>
    <row r="21" spans="1:34" ht="13">
      <c r="A21" s="4" t="s">
        <v>77</v>
      </c>
      <c r="B21" s="44">
        <v>45273</v>
      </c>
      <c r="C21" s="45" t="s">
        <v>76</v>
      </c>
      <c r="D21" s="47" t="s">
        <v>78</v>
      </c>
      <c r="E21" s="20" t="s">
        <v>79</v>
      </c>
      <c r="F21" s="23">
        <v>82</v>
      </c>
      <c r="G21" s="15">
        <f t="shared" si="8"/>
        <v>1185</v>
      </c>
      <c r="H21" s="9">
        <f>ROUND(PRODUCT(G21/18),0)</f>
        <v>66</v>
      </c>
      <c r="I21" s="9">
        <f>ROUND(PRODUCT(G21/COUNT(F4:F21)),0)</f>
        <v>74</v>
      </c>
      <c r="J21" s="39">
        <v>0.19722222222222222</v>
      </c>
      <c r="K21" s="19">
        <f t="shared" si="5"/>
        <v>2.901388888888889</v>
      </c>
      <c r="L21" s="43">
        <f t="shared" si="0"/>
        <v>17.3</v>
      </c>
      <c r="M21" s="35">
        <v>38</v>
      </c>
      <c r="N21" s="39">
        <v>0.2638888888888889</v>
      </c>
      <c r="O21" s="19">
        <f t="shared" si="6"/>
        <v>4.21875</v>
      </c>
      <c r="P21" s="43">
        <f t="shared" si="1"/>
        <v>12.9</v>
      </c>
      <c r="Q21" s="19">
        <f t="shared" si="2"/>
        <v>6.666666666666668E-2</v>
      </c>
      <c r="R21" s="19">
        <f t="shared" si="9"/>
        <v>1.317361111111111</v>
      </c>
      <c r="S21" s="28"/>
      <c r="T21" s="28"/>
      <c r="U21" s="16">
        <f t="shared" si="10"/>
        <v>0</v>
      </c>
      <c r="V21" s="28"/>
      <c r="W21" s="16">
        <f t="shared" si="7"/>
        <v>0</v>
      </c>
      <c r="X21" s="9">
        <f t="shared" si="3"/>
        <v>0</v>
      </c>
      <c r="Y21" s="16">
        <f t="shared" si="11"/>
        <v>0</v>
      </c>
      <c r="Z21" s="16">
        <f t="shared" si="4"/>
        <v>0</v>
      </c>
      <c r="AA21" s="28"/>
      <c r="AB21" s="28"/>
      <c r="AC21" s="29"/>
      <c r="AD21" s="28"/>
      <c r="AE21" s="29"/>
      <c r="AF21" s="29"/>
      <c r="AG21" s="29"/>
      <c r="AH21" s="17">
        <f t="shared" si="12"/>
        <v>0</v>
      </c>
    </row>
    <row r="22" spans="1:34" ht="13">
      <c r="A22" s="4" t="s">
        <v>80</v>
      </c>
      <c r="B22" s="44">
        <v>45274</v>
      </c>
      <c r="C22" s="45" t="s">
        <v>79</v>
      </c>
      <c r="D22" s="47" t="s">
        <v>81</v>
      </c>
      <c r="E22" s="20" t="s">
        <v>79</v>
      </c>
      <c r="F22" s="23">
        <v>112</v>
      </c>
      <c r="G22" s="15">
        <f t="shared" si="8"/>
        <v>1297</v>
      </c>
      <c r="H22" s="9">
        <f>ROUND(PRODUCT(G22/19),0)</f>
        <v>68</v>
      </c>
      <c r="I22" s="9">
        <f>ROUND(PRODUCT(G22/COUNT(F4:F22)),0)</f>
        <v>76</v>
      </c>
      <c r="J22" s="39">
        <v>0.26805555555555555</v>
      </c>
      <c r="K22" s="19">
        <f t="shared" si="5"/>
        <v>3.1694444444444447</v>
      </c>
      <c r="L22" s="43">
        <f t="shared" si="0"/>
        <v>17.399999999999999</v>
      </c>
      <c r="M22" s="35">
        <v>31</v>
      </c>
      <c r="N22" s="39">
        <v>0.52083333333333337</v>
      </c>
      <c r="O22" s="19">
        <f t="shared" si="6"/>
        <v>4.739583333333333</v>
      </c>
      <c r="P22" s="43">
        <f t="shared" si="1"/>
        <v>9</v>
      </c>
      <c r="Q22" s="19">
        <f t="shared" si="2"/>
        <v>0.25277777777777782</v>
      </c>
      <c r="R22" s="19">
        <f t="shared" si="9"/>
        <v>1.5701388888888888</v>
      </c>
      <c r="S22" s="28"/>
      <c r="T22" s="28"/>
      <c r="U22" s="16">
        <f t="shared" si="10"/>
        <v>0</v>
      </c>
      <c r="V22" s="28"/>
      <c r="W22" s="16">
        <f t="shared" si="7"/>
        <v>0</v>
      </c>
      <c r="X22" s="9">
        <f t="shared" si="3"/>
        <v>0</v>
      </c>
      <c r="Y22" s="16">
        <f t="shared" si="11"/>
        <v>0</v>
      </c>
      <c r="Z22" s="16">
        <f t="shared" si="4"/>
        <v>0</v>
      </c>
      <c r="AA22" s="28"/>
      <c r="AB22" s="28"/>
      <c r="AC22" s="29"/>
      <c r="AD22" s="28"/>
      <c r="AE22" s="29"/>
      <c r="AF22" s="29"/>
      <c r="AG22" s="29"/>
      <c r="AH22" s="17">
        <f t="shared" si="12"/>
        <v>0</v>
      </c>
    </row>
    <row r="23" spans="1:34" ht="13">
      <c r="A23" s="30" t="s">
        <v>5</v>
      </c>
      <c r="B23" s="57"/>
      <c r="C23" s="58"/>
      <c r="D23" s="58"/>
      <c r="E23" s="59"/>
      <c r="F23" s="31">
        <f>SUM(F4:F22)</f>
        <v>1297</v>
      </c>
      <c r="G23" s="20">
        <f>SUM(G22)</f>
        <v>1297</v>
      </c>
      <c r="H23" s="20">
        <f>SUM(H22)</f>
        <v>68</v>
      </c>
      <c r="I23" s="20">
        <f>SUM(I22)</f>
        <v>76</v>
      </c>
      <c r="J23" s="21">
        <f>SUM(J4:J22)</f>
        <v>3.1694444444444447</v>
      </c>
      <c r="K23" s="37">
        <f>F23/SUM(HOUR(J23)+(ROUNDDOWN(J23,0)*24),PRODUCT(MINUTE(J23)/60))</f>
        <v>17.050832602979842</v>
      </c>
      <c r="L23" s="42">
        <f>SUM(L4:L22)/COUNT(F4:F22)</f>
        <v>16.870588235294115</v>
      </c>
      <c r="M23" s="48">
        <f>PRODUCT(SUM(M4:M22),1/COUNT(M4:M22))</f>
        <v>38.058823529411761</v>
      </c>
      <c r="N23" s="21">
        <f>SUM(N4:N22)</f>
        <v>4.739583333333333</v>
      </c>
      <c r="O23" s="37">
        <f>F23/SUM(HOUR(N23)+(ROUNDDOWN(N23,0)*24),PRODUCT(MINUTE(N23)/60))</f>
        <v>11.402197802197803</v>
      </c>
      <c r="P23" s="42">
        <f>SUM(P4:P22)/COUNT(F4:F22)</f>
        <v>11.623529411764707</v>
      </c>
      <c r="Q23" s="21">
        <f>SUM(Q4:Q22)</f>
        <v>1.5701388888888888</v>
      </c>
      <c r="R23" s="20"/>
      <c r="S23" s="20" t="e">
        <f>ROUND(SUM(S4:S22)/COUNT(S4:S22),0)</f>
        <v>#DIV/0!</v>
      </c>
      <c r="T23" s="20" t="e">
        <f>ROUND(SUM(T4:T22)/COUNT(T4:T22),0)</f>
        <v>#DIV/0!</v>
      </c>
      <c r="U23" s="22">
        <f>SUM(U4:U22)</f>
        <v>0</v>
      </c>
      <c r="V23" s="20" t="e">
        <f>ROUND(SUM(V4:V22)/COUNT(V4:V22),0)</f>
        <v>#DIV/0!</v>
      </c>
      <c r="W23" s="20">
        <f>SUM(W22)</f>
        <v>0</v>
      </c>
      <c r="X23" s="20" t="e">
        <f>ROUND(SUM(X4:X22)/COUNT(V4:V22),0)</f>
        <v>#DIV/0!</v>
      </c>
      <c r="Y23" s="20">
        <f>SUM(Y22)</f>
        <v>0</v>
      </c>
      <c r="Z23" s="22">
        <f>SUM(Z4:Z22)</f>
        <v>0</v>
      </c>
      <c r="AA23" s="20" t="e">
        <f>ROUND(SUM(AA4:AA22)/COUNT(AA4:AA22),0)</f>
        <v>#DIV/0!</v>
      </c>
      <c r="AB23" s="36" t="e">
        <f t="shared" ref="AB23:AG23" si="13">SUM(AB4:AB22)/COUNT(AB4:AB22)</f>
        <v>#DIV/0!</v>
      </c>
      <c r="AC23" s="36" t="e">
        <f t="shared" si="13"/>
        <v>#DIV/0!</v>
      </c>
      <c r="AD23" s="36" t="e">
        <f t="shared" si="13"/>
        <v>#DIV/0!</v>
      </c>
      <c r="AE23" s="36" t="e">
        <f t="shared" si="13"/>
        <v>#DIV/0!</v>
      </c>
      <c r="AF23" s="36" t="e">
        <f t="shared" si="13"/>
        <v>#DIV/0!</v>
      </c>
      <c r="AG23" s="36" t="e">
        <f t="shared" si="13"/>
        <v>#DIV/0!</v>
      </c>
      <c r="AH23" s="36" t="e">
        <f>SUM(AH4:AH22)/COUNT(AG4:AG22)</f>
        <v>#DIV/0!</v>
      </c>
    </row>
    <row r="24" spans="1:34" ht="13">
      <c r="Q24" s="9"/>
      <c r="R24" s="9"/>
      <c r="S24" s="9"/>
      <c r="W24" s="16"/>
      <c r="Y24" s="16"/>
    </row>
    <row r="25" spans="1:34" ht="13">
      <c r="O25" s="9"/>
      <c r="P25" s="9"/>
      <c r="Q25" s="9"/>
      <c r="R25" s="32"/>
      <c r="S25" s="9"/>
      <c r="T25" s="9"/>
      <c r="U25" s="9"/>
      <c r="V25" s="9"/>
      <c r="W25" s="16"/>
      <c r="X25" s="9"/>
      <c r="Y25" s="16"/>
      <c r="Z25" s="9"/>
      <c r="AA25" s="9"/>
    </row>
    <row r="26" spans="1:34" ht="13">
      <c r="N26" s="41"/>
      <c r="O26" s="9"/>
      <c r="P26" s="9"/>
      <c r="Q26" s="40"/>
      <c r="R26" s="40"/>
      <c r="S26" s="9"/>
      <c r="T26" s="9"/>
      <c r="U26" s="9"/>
      <c r="V26" s="9"/>
      <c r="W26" s="9"/>
      <c r="X26" s="9"/>
      <c r="Y26" s="9"/>
      <c r="Z26" s="9"/>
      <c r="AA26" s="9"/>
    </row>
    <row r="27" spans="1:34" ht="13">
      <c r="O27" s="9"/>
      <c r="P27" s="9"/>
      <c r="Q27" s="40"/>
      <c r="R27" s="40"/>
      <c r="S27" s="9"/>
      <c r="T27" s="9"/>
      <c r="U27" s="9"/>
      <c r="V27" s="9"/>
      <c r="W27" s="9"/>
      <c r="X27" s="9"/>
      <c r="Y27" s="9"/>
      <c r="Z27" s="9"/>
      <c r="AA27" s="9"/>
    </row>
    <row r="28" spans="1:34" ht="13">
      <c r="O28" s="9"/>
      <c r="P28" s="9"/>
      <c r="Q28" s="9"/>
      <c r="R28" s="40"/>
      <c r="S28" s="9"/>
      <c r="T28" s="9"/>
      <c r="U28" s="9"/>
      <c r="V28" s="9"/>
      <c r="W28" s="9"/>
      <c r="X28" s="9"/>
      <c r="Y28" s="9"/>
      <c r="Z28" s="9"/>
      <c r="AA28" s="9"/>
    </row>
    <row r="29" spans="1:34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</sheetData>
  <mergeCells count="4">
    <mergeCell ref="A1:F1"/>
    <mergeCell ref="A2:F2"/>
    <mergeCell ref="G1:AH1"/>
    <mergeCell ref="B23:E2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3B1C-FF11-4925-988C-F5E32283B87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070F-D0CF-4E5E-A601-86D0486584E8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2025-11-12T19:52:28Z</dcterms:modified>
</cp:coreProperties>
</file>