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BE19C901-63D4-485C-A780-CC7076CBD26B}" xr6:coauthVersionLast="47" xr6:coauthVersionMax="47" xr10:uidLastSave="{00000000-0000-0000-0000-000000000000}"/>
  <bookViews>
    <workbookView xWindow="-110" yWindow="-110" windowWidth="19420" windowHeight="10420" xr2:uid="{203E58E1-1777-495C-B5EB-83D534BB91D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" i="1" l="1"/>
  <c r="W55" i="1"/>
  <c r="I55" i="1"/>
  <c r="H55" i="1"/>
  <c r="G55" i="1"/>
  <c r="Q9" i="1"/>
  <c r="AH41" i="1"/>
  <c r="X41" i="1"/>
  <c r="Z41" i="1"/>
  <c r="U41" i="1"/>
  <c r="Q41" i="1"/>
  <c r="P41" i="1"/>
  <c r="L41" i="1"/>
  <c r="AH54" i="1"/>
  <c r="X54" i="1"/>
  <c r="Z54" i="1"/>
  <c r="U54" i="1"/>
  <c r="Q54" i="1"/>
  <c r="P54" i="1"/>
  <c r="L54" i="1"/>
  <c r="AH53" i="1"/>
  <c r="X53" i="1"/>
  <c r="Z53" i="1"/>
  <c r="U53" i="1"/>
  <c r="Q53" i="1"/>
  <c r="P53" i="1"/>
  <c r="L53" i="1"/>
  <c r="AH52" i="1"/>
  <c r="X52" i="1"/>
  <c r="Z52" i="1"/>
  <c r="U52" i="1"/>
  <c r="Q52" i="1"/>
  <c r="P52" i="1"/>
  <c r="L52" i="1"/>
  <c r="AH51" i="1"/>
  <c r="X51" i="1"/>
  <c r="Z51" i="1"/>
  <c r="U51" i="1"/>
  <c r="Q51" i="1"/>
  <c r="P51" i="1"/>
  <c r="L51" i="1"/>
  <c r="AH50" i="1"/>
  <c r="X50" i="1"/>
  <c r="Z50" i="1"/>
  <c r="U50" i="1"/>
  <c r="Q50" i="1"/>
  <c r="P50" i="1"/>
  <c r="L50" i="1"/>
  <c r="AH49" i="1"/>
  <c r="X49" i="1"/>
  <c r="Z49" i="1"/>
  <c r="U49" i="1"/>
  <c r="Q49" i="1"/>
  <c r="P49" i="1"/>
  <c r="L49" i="1"/>
  <c r="AH48" i="1"/>
  <c r="X48" i="1"/>
  <c r="Z48" i="1"/>
  <c r="U48" i="1"/>
  <c r="Q48" i="1"/>
  <c r="P48" i="1"/>
  <c r="L48" i="1"/>
  <c r="AH47" i="1"/>
  <c r="X47" i="1"/>
  <c r="Z47" i="1"/>
  <c r="U47" i="1"/>
  <c r="Q47" i="1"/>
  <c r="P47" i="1"/>
  <c r="L47" i="1"/>
  <c r="AH46" i="1"/>
  <c r="X46" i="1"/>
  <c r="Z46" i="1"/>
  <c r="U46" i="1"/>
  <c r="Q46" i="1"/>
  <c r="P46" i="1"/>
  <c r="L46" i="1"/>
  <c r="AH45" i="1"/>
  <c r="X45" i="1"/>
  <c r="Z45" i="1"/>
  <c r="U45" i="1"/>
  <c r="Q45" i="1"/>
  <c r="P45" i="1"/>
  <c r="L45" i="1"/>
  <c r="AH44" i="1"/>
  <c r="X44" i="1"/>
  <c r="Z44" i="1"/>
  <c r="U44" i="1"/>
  <c r="Q44" i="1"/>
  <c r="P44" i="1"/>
  <c r="L44" i="1"/>
  <c r="AH43" i="1"/>
  <c r="X43" i="1"/>
  <c r="Z43" i="1"/>
  <c r="U43" i="1"/>
  <c r="Q43" i="1"/>
  <c r="P43" i="1"/>
  <c r="L43" i="1"/>
  <c r="AH42" i="1"/>
  <c r="X42" i="1"/>
  <c r="Z42" i="1"/>
  <c r="U42" i="1"/>
  <c r="Q42" i="1"/>
  <c r="P42" i="1"/>
  <c r="L42" i="1"/>
  <c r="G4" i="1"/>
  <c r="H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X4" i="1"/>
  <c r="Z4" i="1"/>
  <c r="AH4" i="1"/>
  <c r="L5" i="1"/>
  <c r="P5" i="1"/>
  <c r="Q5" i="1"/>
  <c r="U5" i="1"/>
  <c r="X5" i="1"/>
  <c r="Z5" i="1"/>
  <c r="AH5" i="1"/>
  <c r="L6" i="1"/>
  <c r="P6" i="1"/>
  <c r="Q6" i="1"/>
  <c r="R6" i="1"/>
  <c r="R7" i="1"/>
  <c r="R8" i="1"/>
  <c r="R9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AH55" i="1"/>
  <c r="P9" i="1"/>
  <c r="U9" i="1"/>
  <c r="X9" i="1"/>
  <c r="Z9" i="1"/>
  <c r="AH9" i="1"/>
  <c r="L10" i="1"/>
  <c r="P10" i="1"/>
  <c r="Q10" i="1"/>
  <c r="R10" i="1"/>
  <c r="R11" i="1"/>
  <c r="R12" i="1"/>
  <c r="R13" i="1"/>
  <c r="R14" i="1"/>
  <c r="R15" i="1"/>
  <c r="R16" i="1"/>
  <c r="R17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/>
  <c r="AH31" i="1"/>
  <c r="L32" i="1"/>
  <c r="P32" i="1"/>
  <c r="Q32" i="1"/>
  <c r="U32" i="1"/>
  <c r="X32" i="1"/>
  <c r="Z32" i="1"/>
  <c r="AH32" i="1"/>
  <c r="L33" i="1"/>
  <c r="P33" i="1"/>
  <c r="Q33" i="1"/>
  <c r="U33" i="1"/>
  <c r="X33" i="1"/>
  <c r="Z33" i="1"/>
  <c r="AH33" i="1"/>
  <c r="L34" i="1"/>
  <c r="P34" i="1"/>
  <c r="Q34" i="1"/>
  <c r="U34" i="1"/>
  <c r="X34" i="1"/>
  <c r="Z34" i="1"/>
  <c r="AH34" i="1"/>
  <c r="L35" i="1"/>
  <c r="P35" i="1"/>
  <c r="Q35" i="1"/>
  <c r="U35" i="1"/>
  <c r="X35" i="1"/>
  <c r="Z35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L38" i="1"/>
  <c r="P38" i="1"/>
  <c r="Q38" i="1"/>
  <c r="U38" i="1"/>
  <c r="X38" i="1"/>
  <c r="Z38" i="1"/>
  <c r="AH38" i="1"/>
  <c r="L39" i="1"/>
  <c r="P39" i="1"/>
  <c r="Q39" i="1"/>
  <c r="U39" i="1"/>
  <c r="X39" i="1"/>
  <c r="Z39" i="1"/>
  <c r="AH39" i="1"/>
  <c r="L40" i="1"/>
  <c r="P40" i="1"/>
  <c r="Q40" i="1"/>
  <c r="U40" i="1"/>
  <c r="X40" i="1"/>
  <c r="Z40" i="1"/>
  <c r="AH40" i="1"/>
  <c r="F55" i="1"/>
  <c r="O55" i="1"/>
  <c r="M55" i="1"/>
  <c r="N55" i="1"/>
  <c r="S55" i="1"/>
  <c r="T55" i="1"/>
  <c r="V55" i="1"/>
  <c r="AA55" i="1"/>
  <c r="AB55" i="1"/>
  <c r="AC55" i="1"/>
  <c r="AD55" i="1"/>
  <c r="AE55" i="1"/>
  <c r="AF55" i="1"/>
  <c r="AG55" i="1"/>
  <c r="L9" i="1"/>
  <c r="L55" i="1"/>
  <c r="J55" i="1"/>
  <c r="U55" i="1"/>
  <c r="G5" i="1"/>
  <c r="I5" i="1"/>
  <c r="R5" i="1"/>
  <c r="I4" i="1"/>
  <c r="H5" i="1"/>
  <c r="G6" i="1"/>
  <c r="I6" i="1"/>
  <c r="H6" i="1"/>
  <c r="G7" i="1"/>
  <c r="G8" i="1"/>
  <c r="I7" i="1"/>
  <c r="P55" i="1"/>
  <c r="K55" i="1"/>
  <c r="R18" i="1"/>
  <c r="R19" i="1"/>
  <c r="R20" i="1"/>
  <c r="R21" i="1"/>
  <c r="R22" i="1"/>
  <c r="R23" i="1"/>
  <c r="R24" i="1"/>
  <c r="R25" i="1"/>
  <c r="I8" i="1"/>
  <c r="G9" i="1"/>
  <c r="H8" i="1"/>
  <c r="Z5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X55" i="1"/>
  <c r="H7" i="1"/>
  <c r="Q55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H9" i="1"/>
  <c r="G10" i="1"/>
  <c r="I9" i="1"/>
  <c r="I10" i="1"/>
  <c r="G11" i="1"/>
  <c r="H10" i="1"/>
  <c r="H11" i="1"/>
  <c r="I11" i="1"/>
  <c r="G12" i="1"/>
  <c r="G13" i="1"/>
  <c r="H12" i="1"/>
  <c r="I12" i="1"/>
  <c r="I13" i="1"/>
  <c r="G14" i="1"/>
  <c r="H13" i="1"/>
  <c r="I14" i="1"/>
  <c r="H14" i="1"/>
  <c r="G15" i="1"/>
  <c r="I15" i="1"/>
  <c r="G16" i="1"/>
  <c r="H15" i="1"/>
  <c r="H16" i="1"/>
  <c r="G17" i="1"/>
  <c r="I16" i="1"/>
  <c r="H17" i="1"/>
  <c r="I17" i="1"/>
  <c r="G18" i="1"/>
  <c r="G19" i="1"/>
  <c r="I18" i="1"/>
  <c r="H18" i="1"/>
  <c r="I19" i="1"/>
  <c r="H19" i="1"/>
  <c r="G20" i="1"/>
  <c r="H20" i="1"/>
  <c r="I20" i="1"/>
  <c r="G21" i="1"/>
  <c r="I21" i="1"/>
  <c r="H21" i="1"/>
  <c r="G22" i="1"/>
  <c r="H22" i="1"/>
  <c r="G23" i="1"/>
  <c r="I22" i="1"/>
  <c r="I23" i="1"/>
  <c r="G24" i="1"/>
  <c r="H23" i="1"/>
  <c r="H24" i="1"/>
  <c r="G25" i="1"/>
  <c r="I24" i="1"/>
  <c r="G26" i="1"/>
  <c r="H25" i="1"/>
  <c r="I25" i="1"/>
  <c r="I26" i="1"/>
  <c r="H26" i="1"/>
  <c r="G27" i="1"/>
  <c r="I27" i="1"/>
  <c r="G28" i="1"/>
  <c r="H27" i="1"/>
  <c r="I28" i="1"/>
  <c r="G29" i="1"/>
  <c r="H28" i="1"/>
  <c r="G30" i="1"/>
  <c r="I29" i="1"/>
  <c r="H29" i="1"/>
  <c r="I30" i="1"/>
  <c r="H30" i="1"/>
  <c r="G31" i="1"/>
  <c r="G32" i="1"/>
  <c r="I31" i="1"/>
  <c r="H31" i="1"/>
  <c r="H32" i="1"/>
  <c r="G33" i="1"/>
  <c r="I32" i="1"/>
  <c r="I33" i="1"/>
  <c r="G34" i="1"/>
  <c r="H33" i="1"/>
  <c r="G35" i="1"/>
  <c r="H34" i="1"/>
  <c r="I34" i="1"/>
  <c r="I35" i="1"/>
  <c r="H35" i="1"/>
  <c r="G36" i="1"/>
  <c r="I36" i="1"/>
  <c r="G37" i="1"/>
  <c r="H36" i="1"/>
  <c r="I37" i="1"/>
  <c r="G38" i="1"/>
  <c r="H37" i="1"/>
  <c r="I38" i="1"/>
  <c r="H38" i="1"/>
  <c r="G39" i="1"/>
  <c r="G40" i="1"/>
  <c r="I39" i="1"/>
  <c r="H39" i="1"/>
  <c r="G41" i="1"/>
  <c r="I40" i="1"/>
  <c r="H40" i="1"/>
  <c r="H41" i="1"/>
  <c r="G42" i="1"/>
  <c r="I41" i="1"/>
  <c r="I42" i="1"/>
  <c r="G43" i="1"/>
  <c r="H42" i="1"/>
  <c r="H43" i="1"/>
  <c r="I43" i="1"/>
  <c r="G44" i="1"/>
  <c r="H44" i="1"/>
  <c r="I44" i="1"/>
  <c r="G45" i="1"/>
  <c r="H45" i="1"/>
  <c r="G46" i="1"/>
  <c r="I45" i="1"/>
  <c r="I46" i="1"/>
  <c r="G47" i="1"/>
  <c r="H46" i="1"/>
  <c r="I47" i="1"/>
  <c r="G48" i="1"/>
  <c r="H47" i="1"/>
  <c r="H48" i="1"/>
  <c r="I48" i="1"/>
  <c r="G49" i="1"/>
  <c r="G50" i="1"/>
  <c r="H49" i="1"/>
  <c r="I49" i="1"/>
  <c r="H50" i="1"/>
  <c r="G51" i="1"/>
  <c r="I50" i="1"/>
  <c r="H51" i="1"/>
  <c r="G52" i="1"/>
  <c r="I51" i="1"/>
  <c r="I52" i="1"/>
  <c r="H52" i="1"/>
  <c r="G53" i="1"/>
  <c r="I53" i="1"/>
  <c r="G54" i="1"/>
  <c r="H53" i="1"/>
  <c r="H54" i="1"/>
  <c r="I54" i="1"/>
</calcChain>
</file>

<file path=xl/sharedStrings.xml><?xml version="1.0" encoding="utf-8"?>
<sst xmlns="http://schemas.openxmlformats.org/spreadsheetml/2006/main" count="202" uniqueCount="129">
  <si>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</si>
  <si>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</si>
  <si>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</si>
  <si>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</si>
  <si>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</si>
  <si>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</si>
  <si>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</si>
  <si>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</si>
  <si>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</si>
  <si>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</si>
  <si>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</si>
  <si>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</si>
  <si>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</si>
  <si>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</si>
  <si>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</si>
  <si>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</si>
  <si>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</si>
  <si>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</si>
  <si>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</si>
  <si>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</si>
  <si>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</si>
  <si>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</si>
  <si>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</si>
  <si>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</si>
  <si>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</si>
  <si>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</si>
  <si>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</si>
  <si>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</si>
  <si>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</si>
  <si>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</si>
  <si>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</si>
  <si>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</si>
  <si>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</si>
  <si>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</si>
  <si>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</si>
  <si>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Mainz</t>
  </si>
  <si>
    <t>Trier</t>
  </si>
  <si>
    <r>
      <t xml:space="preserve">Ruwer - Hermeskeil - Türkismühle - </t>
    </r>
    <r>
      <rPr>
        <i/>
        <sz val="10"/>
        <rFont val="Arial"/>
        <family val="2"/>
      </rPr>
      <t>Zug</t>
    </r>
  </si>
  <si>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Türkismühle - Hermeskeil - Saarburg</t>
    </r>
  </si>
  <si>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Koblenz -  Lahnstein - Wiesbaden</t>
    </r>
  </si>
  <si>
    <t>Nieder-Olm - Friesenheim - Nierstein</t>
  </si>
  <si>
    <t>Wuppertal</t>
  </si>
  <si>
    <r>
      <t xml:space="preserve">Wipperfürth - Wupperquelle - Gummersbach - </t>
    </r>
    <r>
      <rPr>
        <i/>
        <sz val="10"/>
        <color indexed="8"/>
        <rFont val="Arial"/>
        <family val="2"/>
      </rPr>
      <t>Zug</t>
    </r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</si>
  <si>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Koblenz - Neuwied - Bonn-Beuel - Köln-Deutz - Leverkusen</t>
    </r>
  </si>
  <si>
    <t>Bingen</t>
  </si>
  <si>
    <t>Nieder-Olm - Ingelheim - Wiesbaden</t>
  </si>
  <si>
    <t xml:space="preserve">Mainz </t>
  </si>
  <si>
    <t>Hagen</t>
  </si>
  <si>
    <r>
      <t xml:space="preserve">Essen -  Düsseldorf - </t>
    </r>
    <r>
      <rPr>
        <i/>
        <sz val="10"/>
        <color indexed="8"/>
        <rFont val="Arial"/>
        <family val="2"/>
      </rPr>
      <t>Zug</t>
    </r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</si>
  <si>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Sinzig - </t>
    </r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Bonn - Gummersbach - Aggerquelle - Meinerzhagen</t>
    </r>
  </si>
  <si>
    <t xml:space="preserve">Gustavsburg  -  Wiesbaden - Mz - Gustavsburg - Mz- Wiesbaden </t>
  </si>
  <si>
    <t>Rüsselsheim</t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</si>
  <si>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Koblenz - Limburg - Wetzlar - Gießen - Marburg - </t>
    </r>
    <r>
      <rPr>
        <i/>
        <sz val="10"/>
        <color indexed="8"/>
        <rFont val="Arial"/>
        <family val="2"/>
      </rPr>
      <t>Zug</t>
    </r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</si>
  <si>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Okarben - Friedberg - Bad Nauheim - Butzbach - Gießen - </t>
    </r>
    <r>
      <rPr>
        <i/>
        <sz val="10"/>
        <color indexed="8"/>
        <rFont val="Arial"/>
        <family val="2"/>
      </rPr>
      <t>Zug</t>
    </r>
  </si>
  <si>
    <t>Stromberg - Niederheimbach - Bingen</t>
  </si>
  <si>
    <t>Nieder-Olm - Ingelheim</t>
  </si>
  <si>
    <t>Bad Brückenau</t>
  </si>
  <si>
    <t>Jossa - Bad Soden-Salmünster - Frankfurt</t>
  </si>
  <si>
    <t>Frankfurt - Aschaffenburg - Miltenberg - Gemünden</t>
  </si>
  <si>
    <t>Wiesbaden - Rüsselsheim</t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</si>
  <si>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Marburg - Gießen - </t>
    </r>
    <r>
      <rPr>
        <i/>
        <sz val="10"/>
        <color indexed="8"/>
        <rFont val="Arial"/>
        <family val="2"/>
      </rPr>
      <t>Zug</t>
    </r>
  </si>
  <si>
    <t>Wiesbaden - Ginsheim-Gustavsburg</t>
  </si>
  <si>
    <t>Bingen - Homburg - Bingen</t>
  </si>
  <si>
    <t>13.</t>
  </si>
  <si>
    <t>14.</t>
  </si>
  <si>
    <t>15.</t>
  </si>
  <si>
    <t>16.</t>
  </si>
  <si>
    <t>18.</t>
  </si>
  <si>
    <t>19.</t>
  </si>
  <si>
    <t>23.</t>
  </si>
  <si>
    <t>24.</t>
  </si>
  <si>
    <t>25.</t>
  </si>
  <si>
    <t>27.</t>
  </si>
  <si>
    <t>29.</t>
  </si>
  <si>
    <t>30.</t>
  </si>
  <si>
    <t>32.</t>
  </si>
  <si>
    <t>33.</t>
  </si>
  <si>
    <t>34.</t>
  </si>
  <si>
    <t>36.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</si>
  <si>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</si>
  <si>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</si>
  <si>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</si>
  <si>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</si>
  <si>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</si>
  <si>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</si>
  <si>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</si>
  <si>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</si>
  <si>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</si>
  <si>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</si>
  <si>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</si>
  <si>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</si>
  <si>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17.</t>
  </si>
  <si>
    <t>20.</t>
  </si>
  <si>
    <t>21.</t>
  </si>
  <si>
    <t>22.</t>
  </si>
  <si>
    <t>26.</t>
  </si>
  <si>
    <t>28.</t>
  </si>
  <si>
    <t>31.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</si>
  <si>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</si>
  <si>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</si>
  <si>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</si>
  <si>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</si>
  <si>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</si>
  <si>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</si>
  <si>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</si>
  <si>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</si>
  <si>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</si>
  <si>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</si>
  <si>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</si>
  <si>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</si>
  <si>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</si>
  <si>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</si>
  <si>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</si>
  <si>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Bingen - Wiesbaden - Ginsheim-Gustavsburg</t>
  </si>
  <si>
    <r>
      <t xml:space="preserve">Bingen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Rüdesheim - Wiesbaden</t>
    </r>
  </si>
  <si>
    <t>Wachenheim</t>
  </si>
  <si>
    <t>Worms - Bockenheim - Bad Dürkheim</t>
  </si>
  <si>
    <t>Landau - Wörth - Karlsruhe - Mannheim - Gernsheim</t>
  </si>
  <si>
    <r>
      <t xml:space="preserve">Wiesbaden - Rüdesheim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Bingen</t>
    </r>
  </si>
  <si>
    <t>Wiesbaden</t>
  </si>
  <si>
    <r>
      <rPr>
        <i/>
        <sz val="11"/>
        <color indexed="8"/>
        <rFont val="Arial"/>
        <family val="2"/>
      </rPr>
      <t>Zug</t>
    </r>
    <r>
      <rPr>
        <sz val="11"/>
        <color indexed="8"/>
        <rFont val="Arial"/>
        <family val="2"/>
      </rPr>
      <t xml:space="preserve"> - Alzey - Nieder-Olm - Ingelheim</t>
    </r>
  </si>
  <si>
    <t>Frankfurt - Offenbach</t>
  </si>
  <si>
    <t>Hanau</t>
  </si>
  <si>
    <t>Biedenkopf</t>
  </si>
  <si>
    <t>Siegen</t>
  </si>
  <si>
    <t>Bonn</t>
  </si>
  <si>
    <t>Lauterbach - Cölbe</t>
  </si>
  <si>
    <t>Extensions Saarschleife - Wasserkuppe (25.5.-14.7.2024)</t>
  </si>
  <si>
    <r>
      <t>Statistik</t>
    </r>
    <r>
      <rPr>
        <b/>
        <sz val="20"/>
        <rFont val="Arial"/>
        <family val="2"/>
      </rPr>
      <t xml:space="preserve"> Extensions Saarschleife - Wasserkuppe (25.5.-14.7.2024)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</si>
</sst>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2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10" fillId="0" borderId="1" xfId="0" applyFont="1" applyBorder="1" applyAlignment="1">
      <alignment horizontal="center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0" fontId="4" fillId="0" borderId="1" xfId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4" fontId="4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2">
    <cellStyle name="Standard" xfId="0" builtinId="0"/>
    <cellStyle name="Standard 2" xfId="1" xr:uid="{8326BC6D-408A-4E1E-8044-4C938C10F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FA9C-74FE-4CE6-96C6-B3AC5268E7B9}">
  <sheetPr codeName="Tabelle1"/>
  <dimension ref="A1:AH61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179687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55" t="s">
        <v>127</v>
      </c>
      <c r="B1" s="56"/>
      <c r="C1" s="56"/>
      <c r="D1" s="56"/>
      <c r="E1" s="56"/>
      <c r="F1" s="57"/>
      <c r="G1" s="59" t="s">
        <v>128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</row>
    <row r="2" spans="1:34">
      <c r="A2" s="58"/>
      <c r="B2" s="58"/>
      <c r="C2" s="58"/>
      <c r="D2" s="58"/>
      <c r="E2" s="58"/>
      <c r="F2" s="58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3" t="s">
        <v>24</v>
      </c>
      <c r="H3" s="23" t="s">
        <v>21</v>
      </c>
      <c r="I3" s="23" t="s">
        <v>22</v>
      </c>
      <c r="J3" s="23" t="s">
        <v>6</v>
      </c>
      <c r="K3" s="24" t="s">
        <v>30</v>
      </c>
      <c r="L3" s="23" t="s">
        <v>34</v>
      </c>
      <c r="M3" s="23" t="s">
        <v>23</v>
      </c>
      <c r="N3" s="23" t="s">
        <v>12</v>
      </c>
      <c r="O3" s="24" t="s">
        <v>31</v>
      </c>
      <c r="P3" s="23" t="s">
        <v>33</v>
      </c>
      <c r="Q3" s="23" t="s">
        <v>13</v>
      </c>
      <c r="R3" s="24" t="s">
        <v>32</v>
      </c>
      <c r="S3" s="23" t="s">
        <v>7</v>
      </c>
      <c r="T3" s="23" t="s">
        <v>8</v>
      </c>
      <c r="U3" s="23" t="s">
        <v>29</v>
      </c>
      <c r="V3" s="23" t="s">
        <v>10</v>
      </c>
      <c r="W3" s="24" t="s">
        <v>25</v>
      </c>
      <c r="X3" s="23" t="s">
        <v>11</v>
      </c>
      <c r="Y3" s="24" t="s">
        <v>27</v>
      </c>
      <c r="Z3" s="24" t="s">
        <v>28</v>
      </c>
      <c r="AA3" s="23" t="s">
        <v>9</v>
      </c>
      <c r="AB3" s="25" t="s">
        <v>16</v>
      </c>
      <c r="AC3" s="25" t="s">
        <v>17</v>
      </c>
      <c r="AD3" s="25" t="s">
        <v>18</v>
      </c>
      <c r="AE3" s="25" t="s">
        <v>19</v>
      </c>
      <c r="AF3" s="26" t="s">
        <v>15</v>
      </c>
      <c r="AG3" s="26" t="s">
        <v>14</v>
      </c>
      <c r="AH3" s="26" t="s">
        <v>26</v>
      </c>
    </row>
    <row r="4" spans="1:34" ht="13">
      <c r="A4" s="50" t="s">
        <v>79</v>
      </c>
      <c r="B4" s="42">
        <v>45437</v>
      </c>
      <c r="C4" s="44" t="s">
        <v>35</v>
      </c>
      <c r="D4" s="47" t="s">
        <v>38</v>
      </c>
      <c r="E4" s="46" t="s">
        <v>36</v>
      </c>
      <c r="F4" s="4">
        <v>93</v>
      </c>
      <c r="G4" s="11">
        <f>SUM(F4)</f>
        <v>93</v>
      </c>
      <c r="H4" s="12">
        <f>ROUND(PRODUCT(G4/1),0)</f>
        <v>93</v>
      </c>
      <c r="I4" s="12">
        <f>ROUND(PRODUCT(G4/COUNT(F4:F4)),0)</f>
        <v>93</v>
      </c>
      <c r="J4" s="36">
        <v>0.21875</v>
      </c>
      <c r="K4" s="18">
        <f>SUM(J4)</f>
        <v>0.21875</v>
      </c>
      <c r="L4" s="40">
        <f t="shared" ref="L4:L31" si="0">IF(F4=0,0,ROUND(PRODUCT(F4/SUM(HOUR(J4),PRODUCT(MINUTE(J4)/60))),1))</f>
        <v>17.7</v>
      </c>
      <c r="M4" s="33">
        <v>51.5</v>
      </c>
      <c r="N4" s="36">
        <v>0.29166666666666669</v>
      </c>
      <c r="O4" s="18">
        <f>SUM(N4)</f>
        <v>0.29166666666666669</v>
      </c>
      <c r="P4" s="40">
        <f t="shared" ref="P4:P31" si="1">IF(F4=0,0,ROUND(PRODUCT(F4/SUM(HOUR(N4),PRODUCT(MINUTE(N4)/60))),1))</f>
        <v>13.3</v>
      </c>
      <c r="Q4" s="18">
        <f t="shared" ref="Q4:Q31" si="2">SUM(N4,-J4)</f>
        <v>7.2916666666666685E-2</v>
      </c>
      <c r="R4" s="18">
        <f>SUM(Q4)</f>
        <v>7.2916666666666685E-2</v>
      </c>
      <c r="S4" s="12"/>
      <c r="T4" s="9"/>
      <c r="U4" s="13">
        <f>SUM(-S4,T4)</f>
        <v>0</v>
      </c>
      <c r="V4" s="27">
        <v>620</v>
      </c>
      <c r="W4" s="13">
        <f>SUM(V4)</f>
        <v>620</v>
      </c>
      <c r="X4" s="12">
        <f t="shared" ref="X4:X31" si="3">SUM(S4,-T4,V4)</f>
        <v>620</v>
      </c>
      <c r="Y4" s="13">
        <f>SUM(X4)</f>
        <v>620</v>
      </c>
      <c r="Z4" s="13">
        <f t="shared" ref="Z4:Z31" si="4">SUM(V4,-X4)</f>
        <v>0</v>
      </c>
      <c r="AA4" s="27">
        <v>530</v>
      </c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51" t="s">
        <v>80</v>
      </c>
      <c r="B5" s="42">
        <v>45438</v>
      </c>
      <c r="C5" s="44" t="s">
        <v>36</v>
      </c>
      <c r="D5" s="47" t="s">
        <v>37</v>
      </c>
      <c r="E5" s="46" t="s">
        <v>35</v>
      </c>
      <c r="F5" s="4">
        <v>90</v>
      </c>
      <c r="G5" s="15">
        <f>SUM(G4,F5)</f>
        <v>183</v>
      </c>
      <c r="H5" s="9">
        <f>ROUND(PRODUCT(G5/2),0)</f>
        <v>92</v>
      </c>
      <c r="I5" s="9">
        <f>ROUND(PRODUCT(G5/COUNT(F4:F5)),0)</f>
        <v>92</v>
      </c>
      <c r="J5" s="36">
        <v>0.2048611111111111</v>
      </c>
      <c r="K5" s="19">
        <f t="shared" ref="K5:K31" si="5">SUM(J5,K4)</f>
        <v>0.4236111111111111</v>
      </c>
      <c r="L5" s="40">
        <f t="shared" si="0"/>
        <v>18.3</v>
      </c>
      <c r="M5" s="33">
        <v>40.5</v>
      </c>
      <c r="N5" s="36">
        <v>0.33333333333333331</v>
      </c>
      <c r="O5" s="19">
        <f t="shared" ref="O5:O31" si="6">SUM(N5,O4)</f>
        <v>0.625</v>
      </c>
      <c r="P5" s="40">
        <f t="shared" si="1"/>
        <v>11.3</v>
      </c>
      <c r="Q5" s="19">
        <f t="shared" si="2"/>
        <v>0.12847222222222221</v>
      </c>
      <c r="R5" s="19">
        <f>SUM(Q5,R4)</f>
        <v>0.2013888888888889</v>
      </c>
      <c r="S5" s="9"/>
      <c r="T5" s="9"/>
      <c r="U5" s="16">
        <f>SUM(-S5,T5)</f>
        <v>0</v>
      </c>
      <c r="V5" s="27">
        <v>710</v>
      </c>
      <c r="W5" s="16">
        <f t="shared" ref="W5:W31" si="7">SUM(W4,V5)</f>
        <v>1330</v>
      </c>
      <c r="X5" s="9">
        <f t="shared" si="3"/>
        <v>710</v>
      </c>
      <c r="Y5" s="16">
        <f>SUM(Y4,X5)</f>
        <v>1330</v>
      </c>
      <c r="Z5" s="16">
        <f t="shared" si="4"/>
        <v>0</v>
      </c>
      <c r="AA5" s="27">
        <v>530</v>
      </c>
      <c r="AB5" s="9"/>
      <c r="AC5" s="28"/>
      <c r="AD5" s="27"/>
      <c r="AE5" s="28"/>
      <c r="AF5" s="28"/>
      <c r="AG5" s="28"/>
      <c r="AH5" s="17">
        <f>SUM(AG5,-AF5)</f>
        <v>0</v>
      </c>
    </row>
    <row r="6" spans="1:34" ht="13">
      <c r="A6" s="51" t="s">
        <v>81</v>
      </c>
      <c r="B6" s="42">
        <v>45439</v>
      </c>
      <c r="C6" s="44"/>
      <c r="D6" s="47" t="s">
        <v>35</v>
      </c>
      <c r="E6" s="46"/>
      <c r="F6" s="4"/>
      <c r="G6" s="15">
        <f t="shared" ref="G6:G31" si="8">SUM(G5,F6)</f>
        <v>183</v>
      </c>
      <c r="H6" s="9">
        <f>ROUND(PRODUCT(G6/3),0)</f>
        <v>61</v>
      </c>
      <c r="I6" s="9">
        <f>ROUND(PRODUCT(G6/COUNT(F4:F6)),0)</f>
        <v>92</v>
      </c>
      <c r="J6" s="36"/>
      <c r="K6" s="19">
        <f t="shared" si="5"/>
        <v>0.4236111111111111</v>
      </c>
      <c r="L6" s="40">
        <f t="shared" si="0"/>
        <v>0</v>
      </c>
      <c r="M6" s="33"/>
      <c r="N6" s="36"/>
      <c r="O6" s="19">
        <f t="shared" si="6"/>
        <v>0.625</v>
      </c>
      <c r="P6" s="40">
        <f t="shared" si="1"/>
        <v>0</v>
      </c>
      <c r="Q6" s="19">
        <f t="shared" si="2"/>
        <v>0</v>
      </c>
      <c r="R6" s="19">
        <f t="shared" ref="R6:R31" si="9">SUM(Q6,R5)</f>
        <v>0.2013888888888889</v>
      </c>
      <c r="S6" s="9"/>
      <c r="T6" s="27"/>
      <c r="U6" s="16">
        <f t="shared" ref="U6:U31" si="10">SUM(-S6,T6)</f>
        <v>0</v>
      </c>
      <c r="V6" s="27"/>
      <c r="W6" s="16">
        <f t="shared" si="7"/>
        <v>1330</v>
      </c>
      <c r="X6" s="9">
        <f t="shared" si="3"/>
        <v>0</v>
      </c>
      <c r="Y6" s="16">
        <f t="shared" ref="Y6:Y31" si="11">SUM(Y5,X6)</f>
        <v>1330</v>
      </c>
      <c r="Z6" s="16">
        <f t="shared" si="4"/>
        <v>0</v>
      </c>
      <c r="AA6" s="27"/>
      <c r="AB6" s="9"/>
      <c r="AC6" s="28"/>
      <c r="AD6" s="27"/>
      <c r="AE6" s="28"/>
      <c r="AF6" s="28"/>
      <c r="AG6" s="28"/>
      <c r="AH6" s="17">
        <f t="shared" ref="AH6:AH31" si="12">SUM(AG6,-AF6)</f>
        <v>0</v>
      </c>
    </row>
    <row r="7" spans="1:34" ht="13">
      <c r="A7" s="51" t="s">
        <v>82</v>
      </c>
      <c r="B7" s="42">
        <v>45440</v>
      </c>
      <c r="C7" s="44"/>
      <c r="D7" s="45" t="s">
        <v>35</v>
      </c>
      <c r="E7" s="46"/>
      <c r="F7" s="4"/>
      <c r="G7" s="15">
        <f t="shared" si="8"/>
        <v>183</v>
      </c>
      <c r="H7" s="9">
        <f>ROUND(PRODUCT(G7/4),0)</f>
        <v>46</v>
      </c>
      <c r="I7" s="9">
        <f>ROUND(PRODUCT(G7/COUNT(F4:F7)),0)</f>
        <v>92</v>
      </c>
      <c r="J7" s="36"/>
      <c r="K7" s="19">
        <f t="shared" si="5"/>
        <v>0.4236111111111111</v>
      </c>
      <c r="L7" s="40">
        <f t="shared" si="0"/>
        <v>0</v>
      </c>
      <c r="M7" s="32"/>
      <c r="N7" s="36"/>
      <c r="O7" s="19">
        <f t="shared" si="6"/>
        <v>0.625</v>
      </c>
      <c r="P7" s="40">
        <f t="shared" si="1"/>
        <v>0</v>
      </c>
      <c r="Q7" s="19">
        <f t="shared" si="2"/>
        <v>0</v>
      </c>
      <c r="R7" s="19">
        <f t="shared" si="9"/>
        <v>0.2013888888888889</v>
      </c>
      <c r="S7" s="27"/>
      <c r="T7" s="27"/>
      <c r="U7" s="16">
        <f t="shared" si="10"/>
        <v>0</v>
      </c>
      <c r="V7" s="27"/>
      <c r="W7" s="16">
        <f t="shared" si="7"/>
        <v>1330</v>
      </c>
      <c r="X7" s="9">
        <f t="shared" si="3"/>
        <v>0</v>
      </c>
      <c r="Y7" s="16">
        <f t="shared" si="11"/>
        <v>1330</v>
      </c>
      <c r="Z7" s="16">
        <f t="shared" si="4"/>
        <v>0</v>
      </c>
      <c r="AA7" s="27"/>
      <c r="AB7" s="27"/>
      <c r="AC7" s="28"/>
      <c r="AD7" s="27"/>
      <c r="AE7" s="28"/>
      <c r="AF7" s="28"/>
      <c r="AG7" s="28"/>
      <c r="AH7" s="17">
        <f t="shared" si="12"/>
        <v>0</v>
      </c>
    </row>
    <row r="8" spans="1:34" ht="13">
      <c r="A8" s="52" t="s">
        <v>83</v>
      </c>
      <c r="B8" s="42">
        <v>45441</v>
      </c>
      <c r="C8" s="44"/>
      <c r="D8" s="45" t="s">
        <v>35</v>
      </c>
      <c r="E8" s="46"/>
      <c r="F8" s="4"/>
      <c r="G8" s="15">
        <f t="shared" si="8"/>
        <v>183</v>
      </c>
      <c r="H8" s="9">
        <f>ROUND(PRODUCT(G8/5),0)</f>
        <v>37</v>
      </c>
      <c r="I8" s="9">
        <f>ROUND(PRODUCT(G8/COUNT(F4:F8)),0)</f>
        <v>92</v>
      </c>
      <c r="J8" s="36"/>
      <c r="K8" s="19">
        <f t="shared" si="5"/>
        <v>0.4236111111111111</v>
      </c>
      <c r="L8" s="40">
        <f t="shared" si="0"/>
        <v>0</v>
      </c>
      <c r="M8" s="32"/>
      <c r="N8" s="36"/>
      <c r="O8" s="19">
        <f t="shared" si="6"/>
        <v>0.625</v>
      </c>
      <c r="P8" s="40">
        <f t="shared" si="1"/>
        <v>0</v>
      </c>
      <c r="Q8" s="19">
        <f t="shared" si="2"/>
        <v>0</v>
      </c>
      <c r="R8" s="19">
        <f t="shared" si="9"/>
        <v>0.2013888888888889</v>
      </c>
      <c r="S8" s="27"/>
      <c r="T8" s="27"/>
      <c r="U8" s="16">
        <f t="shared" si="10"/>
        <v>0</v>
      </c>
      <c r="V8" s="27"/>
      <c r="W8" s="16">
        <f t="shared" si="7"/>
        <v>1330</v>
      </c>
      <c r="X8" s="9">
        <f t="shared" si="3"/>
        <v>0</v>
      </c>
      <c r="Y8" s="16">
        <f t="shared" si="11"/>
        <v>1330</v>
      </c>
      <c r="Z8" s="16">
        <f t="shared" si="4"/>
        <v>0</v>
      </c>
      <c r="AA8" s="27"/>
      <c r="AB8" s="27"/>
      <c r="AC8" s="28"/>
      <c r="AD8" s="27"/>
      <c r="AE8" s="28"/>
      <c r="AF8" s="28"/>
      <c r="AG8" s="28"/>
      <c r="AH8" s="17">
        <f t="shared" si="12"/>
        <v>0</v>
      </c>
    </row>
    <row r="9" spans="1:34" ht="13">
      <c r="A9" s="47" t="s">
        <v>84</v>
      </c>
      <c r="B9" s="42">
        <v>45442</v>
      </c>
      <c r="C9" s="44" t="s">
        <v>35</v>
      </c>
      <c r="D9" s="47" t="s">
        <v>39</v>
      </c>
      <c r="E9" s="46" t="s">
        <v>35</v>
      </c>
      <c r="F9" s="4">
        <v>100</v>
      </c>
      <c r="G9" s="15">
        <f t="shared" si="8"/>
        <v>283</v>
      </c>
      <c r="H9" s="9">
        <f>ROUND(PRODUCT(G9/6),0)</f>
        <v>47</v>
      </c>
      <c r="I9" s="9">
        <f>ROUND(PRODUCT(G9/COUNT(F4:F9)),0)</f>
        <v>94</v>
      </c>
      <c r="J9" s="36">
        <v>0.17847222222222223</v>
      </c>
      <c r="K9" s="19">
        <f t="shared" si="5"/>
        <v>0.6020833333333333</v>
      </c>
      <c r="L9" s="40">
        <f t="shared" si="0"/>
        <v>23.3</v>
      </c>
      <c r="M9" s="33">
        <v>35.5</v>
      </c>
      <c r="N9" s="36">
        <v>0.2013888888888889</v>
      </c>
      <c r="O9" s="19">
        <f t="shared" si="6"/>
        <v>0.82638888888888884</v>
      </c>
      <c r="P9" s="40">
        <f t="shared" si="1"/>
        <v>20.7</v>
      </c>
      <c r="Q9" s="19">
        <f t="shared" si="2"/>
        <v>2.2916666666666669E-2</v>
      </c>
      <c r="R9" s="19">
        <f t="shared" si="9"/>
        <v>0.22430555555555556</v>
      </c>
      <c r="S9" s="27"/>
      <c r="T9" s="27"/>
      <c r="U9" s="16">
        <f t="shared" si="10"/>
        <v>0</v>
      </c>
      <c r="V9" s="27">
        <v>177</v>
      </c>
      <c r="W9" s="16">
        <f t="shared" si="7"/>
        <v>1507</v>
      </c>
      <c r="X9" s="9">
        <f t="shared" si="3"/>
        <v>177</v>
      </c>
      <c r="Y9" s="16">
        <f t="shared" si="11"/>
        <v>1507</v>
      </c>
      <c r="Z9" s="16">
        <f t="shared" si="4"/>
        <v>0</v>
      </c>
      <c r="AA9" s="27">
        <v>120</v>
      </c>
      <c r="AB9" s="27"/>
      <c r="AC9" s="28"/>
      <c r="AD9" s="27"/>
      <c r="AE9" s="28"/>
      <c r="AF9" s="28"/>
      <c r="AG9" s="28"/>
      <c r="AH9" s="17">
        <f t="shared" si="12"/>
        <v>0</v>
      </c>
    </row>
    <row r="10" spans="1:34" ht="13">
      <c r="A10" s="47" t="s">
        <v>85</v>
      </c>
      <c r="B10" s="42">
        <v>45443</v>
      </c>
      <c r="C10" s="44" t="s">
        <v>35</v>
      </c>
      <c r="D10" s="45" t="s">
        <v>40</v>
      </c>
      <c r="E10" s="46" t="s">
        <v>35</v>
      </c>
      <c r="F10" s="4">
        <v>65</v>
      </c>
      <c r="G10" s="15">
        <f t="shared" si="8"/>
        <v>348</v>
      </c>
      <c r="H10" s="9">
        <f>ROUND(PRODUCT(G10/7),0)</f>
        <v>50</v>
      </c>
      <c r="I10" s="9">
        <f>ROUND(PRODUCT(G10/COUNT(F4:F10)),0)</f>
        <v>87</v>
      </c>
      <c r="J10" s="36">
        <v>0.15694444444444444</v>
      </c>
      <c r="K10" s="19">
        <f t="shared" si="5"/>
        <v>0.75902777777777775</v>
      </c>
      <c r="L10" s="40">
        <f t="shared" si="0"/>
        <v>17.3</v>
      </c>
      <c r="M10" s="32">
        <v>43.5</v>
      </c>
      <c r="N10" s="36">
        <v>0.16666666666666666</v>
      </c>
      <c r="O10" s="19">
        <f t="shared" si="6"/>
        <v>0.99305555555555547</v>
      </c>
      <c r="P10" s="40">
        <f t="shared" si="1"/>
        <v>16.3</v>
      </c>
      <c r="Q10" s="19">
        <f t="shared" si="2"/>
        <v>9.7222222222222154E-3</v>
      </c>
      <c r="R10" s="19">
        <f t="shared" si="9"/>
        <v>0.23402777777777778</v>
      </c>
      <c r="S10" s="27"/>
      <c r="T10" s="27"/>
      <c r="U10" s="16">
        <f t="shared" si="10"/>
        <v>0</v>
      </c>
      <c r="V10" s="27">
        <v>330</v>
      </c>
      <c r="W10" s="16">
        <f t="shared" si="7"/>
        <v>1837</v>
      </c>
      <c r="X10" s="9">
        <f t="shared" si="3"/>
        <v>330</v>
      </c>
      <c r="Y10" s="16">
        <f t="shared" si="11"/>
        <v>1837</v>
      </c>
      <c r="Z10" s="16">
        <f t="shared" si="4"/>
        <v>0</v>
      </c>
      <c r="AA10" s="27">
        <v>220</v>
      </c>
      <c r="AB10" s="9"/>
      <c r="AC10" s="28"/>
      <c r="AD10" s="27"/>
      <c r="AE10" s="28"/>
      <c r="AF10" s="28"/>
      <c r="AG10" s="28"/>
      <c r="AH10" s="17">
        <f t="shared" si="12"/>
        <v>0</v>
      </c>
    </row>
    <row r="11" spans="1:34" ht="13">
      <c r="A11" s="47" t="s">
        <v>86</v>
      </c>
      <c r="B11" s="42">
        <v>45444</v>
      </c>
      <c r="C11" s="44" t="s">
        <v>35</v>
      </c>
      <c r="D11" s="45" t="s">
        <v>43</v>
      </c>
      <c r="E11" s="46" t="s">
        <v>41</v>
      </c>
      <c r="F11" s="4">
        <v>179</v>
      </c>
      <c r="G11" s="15">
        <f t="shared" si="8"/>
        <v>527</v>
      </c>
      <c r="H11" s="9">
        <f>ROUND(PRODUCT(G11/8),0)</f>
        <v>66</v>
      </c>
      <c r="I11" s="9">
        <f>ROUND(PRODUCT(G11/COUNT(F4:F11)),0)</f>
        <v>105</v>
      </c>
      <c r="J11" s="36">
        <v>0.40277777777777779</v>
      </c>
      <c r="K11" s="19">
        <f t="shared" si="5"/>
        <v>1.1618055555555555</v>
      </c>
      <c r="L11" s="40">
        <f t="shared" si="0"/>
        <v>18.5</v>
      </c>
      <c r="M11" s="32">
        <v>49.5</v>
      </c>
      <c r="N11" s="36">
        <v>0.5</v>
      </c>
      <c r="O11" s="19">
        <f t="shared" si="6"/>
        <v>1.4930555555555554</v>
      </c>
      <c r="P11" s="40">
        <f t="shared" si="1"/>
        <v>14.9</v>
      </c>
      <c r="Q11" s="19">
        <f t="shared" si="2"/>
        <v>9.722222222222221E-2</v>
      </c>
      <c r="R11" s="19">
        <f t="shared" si="9"/>
        <v>0.33124999999999999</v>
      </c>
      <c r="S11" s="27"/>
      <c r="T11" s="27"/>
      <c r="U11" s="16">
        <f t="shared" si="10"/>
        <v>0</v>
      </c>
      <c r="V11" s="27">
        <v>733</v>
      </c>
      <c r="W11" s="16">
        <f t="shared" si="7"/>
        <v>2570</v>
      </c>
      <c r="X11" s="9">
        <f t="shared" si="3"/>
        <v>733</v>
      </c>
      <c r="Y11" s="16">
        <f t="shared" si="11"/>
        <v>2570</v>
      </c>
      <c r="Z11" s="16">
        <f t="shared" si="4"/>
        <v>0</v>
      </c>
      <c r="AA11" s="27">
        <v>170</v>
      </c>
      <c r="AB11" s="27"/>
      <c r="AC11" s="28"/>
      <c r="AD11" s="27"/>
      <c r="AE11" s="28"/>
      <c r="AF11" s="28"/>
      <c r="AG11" s="28"/>
      <c r="AH11" s="17">
        <f t="shared" si="12"/>
        <v>0</v>
      </c>
    </row>
    <row r="12" spans="1:34" ht="13">
      <c r="A12" s="47" t="s">
        <v>87</v>
      </c>
      <c r="B12" s="42">
        <v>45445</v>
      </c>
      <c r="C12" s="44" t="s">
        <v>41</v>
      </c>
      <c r="D12" s="45" t="s">
        <v>42</v>
      </c>
      <c r="E12" s="46" t="s">
        <v>35</v>
      </c>
      <c r="F12" s="4">
        <v>80</v>
      </c>
      <c r="G12" s="15">
        <f t="shared" si="8"/>
        <v>607</v>
      </c>
      <c r="H12" s="9">
        <f>ROUND(PRODUCT(G12/9),0)</f>
        <v>67</v>
      </c>
      <c r="I12" s="9">
        <f>ROUND(PRODUCT(G12/COUNT(F4:F12)),0)</f>
        <v>101</v>
      </c>
      <c r="J12" s="36">
        <v>0.19791666666666666</v>
      </c>
      <c r="K12" s="19">
        <f t="shared" si="5"/>
        <v>1.3597222222222223</v>
      </c>
      <c r="L12" s="40">
        <f t="shared" si="0"/>
        <v>16.8</v>
      </c>
      <c r="M12" s="32">
        <v>54</v>
      </c>
      <c r="N12" s="36">
        <v>0.23958333333333334</v>
      </c>
      <c r="O12" s="19">
        <f t="shared" si="6"/>
        <v>1.7326388888888886</v>
      </c>
      <c r="P12" s="40">
        <f t="shared" si="1"/>
        <v>13.9</v>
      </c>
      <c r="Q12" s="19">
        <f t="shared" si="2"/>
        <v>4.1666666666666685E-2</v>
      </c>
      <c r="R12" s="19">
        <f t="shared" si="9"/>
        <v>0.37291666666666667</v>
      </c>
      <c r="S12" s="27"/>
      <c r="T12" s="27"/>
      <c r="U12" s="16">
        <f t="shared" si="10"/>
        <v>0</v>
      </c>
      <c r="V12" s="27">
        <v>720</v>
      </c>
      <c r="W12" s="16">
        <f t="shared" si="7"/>
        <v>3290</v>
      </c>
      <c r="X12" s="9">
        <f t="shared" si="3"/>
        <v>720</v>
      </c>
      <c r="Y12" s="16">
        <f t="shared" si="11"/>
        <v>3290</v>
      </c>
      <c r="Z12" s="16">
        <f t="shared" si="4"/>
        <v>0</v>
      </c>
      <c r="AA12" s="27">
        <v>460</v>
      </c>
      <c r="AB12" s="9"/>
      <c r="AC12" s="28"/>
      <c r="AD12" s="27"/>
      <c r="AE12" s="28"/>
      <c r="AF12" s="28"/>
      <c r="AG12" s="28"/>
      <c r="AH12" s="17">
        <f t="shared" si="12"/>
        <v>0</v>
      </c>
    </row>
    <row r="13" spans="1:34" ht="13">
      <c r="A13" s="47" t="s">
        <v>88</v>
      </c>
      <c r="B13" s="42">
        <v>45446</v>
      </c>
      <c r="C13" s="44"/>
      <c r="D13" s="45" t="s">
        <v>35</v>
      </c>
      <c r="E13" s="46"/>
      <c r="F13" s="4"/>
      <c r="G13" s="15">
        <f t="shared" si="8"/>
        <v>607</v>
      </c>
      <c r="H13" s="9">
        <f>ROUND(PRODUCT(G13/10),0)</f>
        <v>61</v>
      </c>
      <c r="I13" s="9">
        <f>ROUND(PRODUCT(G13/COUNT(F4:F13)),0)</f>
        <v>101</v>
      </c>
      <c r="J13" s="36"/>
      <c r="K13" s="19">
        <f t="shared" si="5"/>
        <v>1.3597222222222223</v>
      </c>
      <c r="L13" s="40">
        <f t="shared" si="0"/>
        <v>0</v>
      </c>
      <c r="M13" s="33"/>
      <c r="N13" s="36"/>
      <c r="O13" s="19">
        <f t="shared" si="6"/>
        <v>1.7326388888888886</v>
      </c>
      <c r="P13" s="40">
        <f t="shared" si="1"/>
        <v>0</v>
      </c>
      <c r="Q13" s="19">
        <f t="shared" si="2"/>
        <v>0</v>
      </c>
      <c r="R13" s="19">
        <f t="shared" si="9"/>
        <v>0.37291666666666667</v>
      </c>
      <c r="S13" s="27"/>
      <c r="T13" s="27"/>
      <c r="U13" s="16">
        <f t="shared" si="10"/>
        <v>0</v>
      </c>
      <c r="V13" s="27"/>
      <c r="W13" s="16">
        <f t="shared" si="7"/>
        <v>3290</v>
      </c>
      <c r="X13" s="9">
        <f t="shared" si="3"/>
        <v>0</v>
      </c>
      <c r="Y13" s="16">
        <f t="shared" si="11"/>
        <v>3290</v>
      </c>
      <c r="Z13" s="16">
        <f t="shared" si="4"/>
        <v>0</v>
      </c>
      <c r="AA13" s="27"/>
      <c r="AB13" s="27"/>
      <c r="AC13" s="28"/>
      <c r="AD13" s="27"/>
      <c r="AE13" s="28"/>
      <c r="AF13" s="28"/>
      <c r="AG13" s="28"/>
      <c r="AH13" s="17">
        <f t="shared" si="12"/>
        <v>0</v>
      </c>
    </row>
    <row r="14" spans="1:34" ht="13">
      <c r="A14" s="47" t="s">
        <v>89</v>
      </c>
      <c r="B14" s="42">
        <v>45447</v>
      </c>
      <c r="C14" s="44"/>
      <c r="D14" s="45" t="s">
        <v>35</v>
      </c>
      <c r="E14" s="46"/>
      <c r="F14" s="4"/>
      <c r="G14" s="15">
        <f t="shared" si="8"/>
        <v>607</v>
      </c>
      <c r="H14" s="9">
        <f>ROUND(PRODUCT(G14/11),0)</f>
        <v>55</v>
      </c>
      <c r="I14" s="9">
        <f>ROUND(PRODUCT(G14/COUNT(F4:F14)),0)</f>
        <v>101</v>
      </c>
      <c r="J14" s="36"/>
      <c r="K14" s="19">
        <f t="shared" si="5"/>
        <v>1.3597222222222223</v>
      </c>
      <c r="L14" s="40">
        <f t="shared" si="0"/>
        <v>0</v>
      </c>
      <c r="M14" s="33"/>
      <c r="N14" s="36"/>
      <c r="O14" s="19">
        <f t="shared" si="6"/>
        <v>1.7326388888888886</v>
      </c>
      <c r="P14" s="40">
        <f t="shared" si="1"/>
        <v>0</v>
      </c>
      <c r="Q14" s="19">
        <f t="shared" si="2"/>
        <v>0</v>
      </c>
      <c r="R14" s="19">
        <f t="shared" si="9"/>
        <v>0.37291666666666667</v>
      </c>
      <c r="S14" s="27"/>
      <c r="T14" s="27"/>
      <c r="U14" s="16">
        <f t="shared" si="10"/>
        <v>0</v>
      </c>
      <c r="V14" s="27"/>
      <c r="W14" s="16">
        <f t="shared" si="7"/>
        <v>3290</v>
      </c>
      <c r="X14" s="9">
        <f t="shared" si="3"/>
        <v>0</v>
      </c>
      <c r="Y14" s="16">
        <f t="shared" si="11"/>
        <v>3290</v>
      </c>
      <c r="Z14" s="16">
        <f t="shared" si="4"/>
        <v>0</v>
      </c>
      <c r="AA14" s="27"/>
      <c r="AB14" s="27"/>
      <c r="AC14" s="28"/>
      <c r="AD14" s="27"/>
      <c r="AE14" s="28"/>
      <c r="AF14" s="28"/>
      <c r="AG14" s="28"/>
      <c r="AH14" s="17">
        <f t="shared" si="12"/>
        <v>0</v>
      </c>
    </row>
    <row r="15" spans="1:34" ht="13">
      <c r="A15" s="47" t="s">
        <v>90</v>
      </c>
      <c r="B15" s="42">
        <v>45448</v>
      </c>
      <c r="C15" s="44"/>
      <c r="D15" s="45" t="s">
        <v>35</v>
      </c>
      <c r="E15" s="46"/>
      <c r="F15" s="4"/>
      <c r="G15" s="15">
        <f t="shared" si="8"/>
        <v>607</v>
      </c>
      <c r="H15" s="9">
        <f>ROUND(PRODUCT(G15/12),0)</f>
        <v>51</v>
      </c>
      <c r="I15" s="9">
        <f>ROUND(PRODUCT(G15/COUNT(F4:F15)),0)</f>
        <v>101</v>
      </c>
      <c r="J15" s="36"/>
      <c r="K15" s="19">
        <f t="shared" si="5"/>
        <v>1.3597222222222223</v>
      </c>
      <c r="L15" s="40">
        <f t="shared" si="0"/>
        <v>0</v>
      </c>
      <c r="M15" s="33"/>
      <c r="N15" s="36"/>
      <c r="O15" s="19">
        <f t="shared" si="6"/>
        <v>1.7326388888888886</v>
      </c>
      <c r="P15" s="40">
        <f t="shared" si="1"/>
        <v>0</v>
      </c>
      <c r="Q15" s="19">
        <f t="shared" si="2"/>
        <v>0</v>
      </c>
      <c r="R15" s="19">
        <f t="shared" si="9"/>
        <v>0.37291666666666667</v>
      </c>
      <c r="S15" s="27"/>
      <c r="T15" s="27"/>
      <c r="U15" s="16">
        <f t="shared" si="10"/>
        <v>0</v>
      </c>
      <c r="V15" s="27"/>
      <c r="W15" s="16">
        <f t="shared" si="7"/>
        <v>3290</v>
      </c>
      <c r="X15" s="9">
        <f t="shared" si="3"/>
        <v>0</v>
      </c>
      <c r="Y15" s="16">
        <f t="shared" si="11"/>
        <v>3290</v>
      </c>
      <c r="Z15" s="16">
        <f t="shared" si="4"/>
        <v>0</v>
      </c>
      <c r="AA15" s="27"/>
      <c r="AB15" s="9"/>
      <c r="AC15" s="28"/>
      <c r="AD15" s="27"/>
      <c r="AE15" s="28"/>
      <c r="AF15" s="28"/>
      <c r="AG15" s="28"/>
      <c r="AH15" s="17">
        <f t="shared" si="12"/>
        <v>0</v>
      </c>
    </row>
    <row r="16" spans="1:34" ht="13" customHeight="1">
      <c r="A16" s="47" t="s">
        <v>63</v>
      </c>
      <c r="B16" s="42">
        <v>45449</v>
      </c>
      <c r="C16" s="44" t="s">
        <v>35</v>
      </c>
      <c r="D16" s="45" t="s">
        <v>44</v>
      </c>
      <c r="E16" s="46" t="s">
        <v>35</v>
      </c>
      <c r="F16" s="4">
        <v>68</v>
      </c>
      <c r="G16" s="15">
        <f t="shared" si="8"/>
        <v>675</v>
      </c>
      <c r="H16" s="9">
        <f>ROUND(PRODUCT(G16/13),0)</f>
        <v>52</v>
      </c>
      <c r="I16" s="9">
        <f>ROUND(PRODUCT(G16/COUNT(F4:F16)),0)</f>
        <v>96</v>
      </c>
      <c r="J16" s="36">
        <v>0.14097222222222222</v>
      </c>
      <c r="K16" s="19">
        <f t="shared" si="5"/>
        <v>1.5006944444444446</v>
      </c>
      <c r="L16" s="40">
        <f t="shared" si="0"/>
        <v>20.100000000000001</v>
      </c>
      <c r="M16" s="32">
        <v>42</v>
      </c>
      <c r="N16" s="36">
        <v>0.16666666666666666</v>
      </c>
      <c r="O16" s="19">
        <f t="shared" si="6"/>
        <v>1.8993055555555554</v>
      </c>
      <c r="P16" s="40">
        <f t="shared" si="1"/>
        <v>17</v>
      </c>
      <c r="Q16" s="19">
        <f t="shared" si="2"/>
        <v>2.5694444444444436E-2</v>
      </c>
      <c r="R16" s="19">
        <f t="shared" si="9"/>
        <v>0.39861111111111114</v>
      </c>
      <c r="S16" s="27"/>
      <c r="T16" s="27"/>
      <c r="U16" s="16">
        <f t="shared" si="10"/>
        <v>0</v>
      </c>
      <c r="V16" s="27">
        <v>290</v>
      </c>
      <c r="W16" s="16">
        <f t="shared" si="7"/>
        <v>3580</v>
      </c>
      <c r="X16" s="9">
        <f t="shared" si="3"/>
        <v>290</v>
      </c>
      <c r="Y16" s="16">
        <f t="shared" si="11"/>
        <v>3580</v>
      </c>
      <c r="Z16" s="16">
        <f t="shared" si="4"/>
        <v>0</v>
      </c>
      <c r="AA16" s="27">
        <v>240</v>
      </c>
      <c r="AB16" s="9"/>
      <c r="AC16" s="28"/>
      <c r="AD16" s="27"/>
      <c r="AE16" s="28"/>
      <c r="AF16" s="28"/>
      <c r="AG16" s="28"/>
      <c r="AH16" s="17">
        <f t="shared" si="12"/>
        <v>0</v>
      </c>
    </row>
    <row r="17" spans="1:34" ht="13">
      <c r="A17" s="41" t="s">
        <v>64</v>
      </c>
      <c r="B17" s="42">
        <v>45450</v>
      </c>
      <c r="C17" s="44" t="s">
        <v>35</v>
      </c>
      <c r="D17" s="45" t="s">
        <v>45</v>
      </c>
      <c r="E17" s="46" t="s">
        <v>35</v>
      </c>
      <c r="F17" s="4">
        <v>70</v>
      </c>
      <c r="G17" s="15">
        <f t="shared" si="8"/>
        <v>745</v>
      </c>
      <c r="H17" s="9">
        <f>ROUND(PRODUCT(G17/14),0)</f>
        <v>53</v>
      </c>
      <c r="I17" s="9">
        <f>ROUND(PRODUCT(G17/COUNT(F4:F17)),0)</f>
        <v>93</v>
      </c>
      <c r="J17" s="36">
        <v>0.14722222222222223</v>
      </c>
      <c r="K17" s="19">
        <f t="shared" si="5"/>
        <v>1.6479166666666667</v>
      </c>
      <c r="L17" s="40">
        <f t="shared" si="0"/>
        <v>19.8</v>
      </c>
      <c r="M17" s="32">
        <v>45.5</v>
      </c>
      <c r="N17" s="36">
        <v>0.16666666666666666</v>
      </c>
      <c r="O17" s="19">
        <f t="shared" si="6"/>
        <v>2.0659722222222219</v>
      </c>
      <c r="P17" s="40">
        <f t="shared" si="1"/>
        <v>17.5</v>
      </c>
      <c r="Q17" s="19">
        <f t="shared" si="2"/>
        <v>1.9444444444444431E-2</v>
      </c>
      <c r="R17" s="19">
        <f t="shared" si="9"/>
        <v>0.41805555555555557</v>
      </c>
      <c r="S17" s="27"/>
      <c r="T17" s="27"/>
      <c r="U17" s="16">
        <f t="shared" si="10"/>
        <v>0</v>
      </c>
      <c r="V17" s="27">
        <v>300</v>
      </c>
      <c r="W17" s="16">
        <f t="shared" si="7"/>
        <v>3880</v>
      </c>
      <c r="X17" s="9">
        <f t="shared" si="3"/>
        <v>300</v>
      </c>
      <c r="Y17" s="16">
        <f t="shared" si="11"/>
        <v>3880</v>
      </c>
      <c r="Z17" s="16">
        <f t="shared" si="4"/>
        <v>0</v>
      </c>
      <c r="AA17" s="27">
        <v>220</v>
      </c>
      <c r="AB17" s="9"/>
      <c r="AC17" s="28"/>
      <c r="AD17" s="27"/>
      <c r="AE17" s="28"/>
      <c r="AF17" s="28"/>
      <c r="AG17" s="28"/>
      <c r="AH17" s="17">
        <f t="shared" si="12"/>
        <v>0</v>
      </c>
    </row>
    <row r="18" spans="1:34" ht="13">
      <c r="A18" s="41" t="s">
        <v>65</v>
      </c>
      <c r="B18" s="42">
        <v>45451</v>
      </c>
      <c r="C18" s="44" t="s">
        <v>35</v>
      </c>
      <c r="D18" s="45" t="s">
        <v>49</v>
      </c>
      <c r="E18" s="46" t="s">
        <v>47</v>
      </c>
      <c r="F18" s="4">
        <v>123</v>
      </c>
      <c r="G18" s="15">
        <f t="shared" si="8"/>
        <v>868</v>
      </c>
      <c r="H18" s="9">
        <f>ROUND(PRODUCT(G18/15),0)</f>
        <v>58</v>
      </c>
      <c r="I18" s="9">
        <f>ROUND(PRODUCT(G18/COUNT(F4:F18)),0)</f>
        <v>96</v>
      </c>
      <c r="J18" s="36">
        <v>0.2638888888888889</v>
      </c>
      <c r="K18" s="19">
        <f t="shared" si="5"/>
        <v>1.9118055555555555</v>
      </c>
      <c r="L18" s="40">
        <f t="shared" si="0"/>
        <v>19.399999999999999</v>
      </c>
      <c r="M18" s="32">
        <v>50.5</v>
      </c>
      <c r="N18" s="36">
        <v>0.375</v>
      </c>
      <c r="O18" s="19">
        <f t="shared" si="6"/>
        <v>2.4409722222222219</v>
      </c>
      <c r="P18" s="40">
        <f t="shared" si="1"/>
        <v>13.7</v>
      </c>
      <c r="Q18" s="19">
        <f t="shared" si="2"/>
        <v>0.1111111111111111</v>
      </c>
      <c r="R18" s="19">
        <f t="shared" si="9"/>
        <v>0.52916666666666667</v>
      </c>
      <c r="S18" s="27"/>
      <c r="T18" s="27"/>
      <c r="U18" s="16">
        <f t="shared" si="10"/>
        <v>0</v>
      </c>
      <c r="V18" s="27">
        <v>700</v>
      </c>
      <c r="W18" s="16">
        <f t="shared" si="7"/>
        <v>4580</v>
      </c>
      <c r="X18" s="9">
        <f t="shared" si="3"/>
        <v>700</v>
      </c>
      <c r="Y18" s="16">
        <f t="shared" si="11"/>
        <v>4580</v>
      </c>
      <c r="Z18" s="16">
        <f t="shared" si="4"/>
        <v>0</v>
      </c>
      <c r="AA18" s="27">
        <v>470</v>
      </c>
      <c r="AB18" s="9"/>
      <c r="AC18" s="28"/>
      <c r="AD18" s="27"/>
      <c r="AE18" s="28"/>
      <c r="AF18" s="28"/>
      <c r="AG18" s="28"/>
      <c r="AH18" s="17">
        <f t="shared" si="12"/>
        <v>0</v>
      </c>
    </row>
    <row r="19" spans="1:34" ht="13">
      <c r="A19" s="41" t="s">
        <v>66</v>
      </c>
      <c r="B19" s="42">
        <v>45452</v>
      </c>
      <c r="C19" s="44" t="s">
        <v>47</v>
      </c>
      <c r="D19" s="45" t="s">
        <v>48</v>
      </c>
      <c r="E19" s="46" t="s">
        <v>46</v>
      </c>
      <c r="F19" s="4">
        <v>100</v>
      </c>
      <c r="G19" s="15">
        <f t="shared" si="8"/>
        <v>968</v>
      </c>
      <c r="H19" s="9">
        <f>ROUND(PRODUCT(G19/16),0)</f>
        <v>61</v>
      </c>
      <c r="I19" s="9">
        <f>ROUND(PRODUCT(G19/COUNT(F4:F19)),0)</f>
        <v>97</v>
      </c>
      <c r="J19" s="36">
        <v>0.21875</v>
      </c>
      <c r="K19" s="19">
        <f t="shared" si="5"/>
        <v>2.1305555555555555</v>
      </c>
      <c r="L19" s="40">
        <f t="shared" si="0"/>
        <v>19</v>
      </c>
      <c r="M19" s="33">
        <v>40</v>
      </c>
      <c r="N19" s="36">
        <v>0.375</v>
      </c>
      <c r="O19" s="19">
        <f t="shared" si="6"/>
        <v>2.8159722222222219</v>
      </c>
      <c r="P19" s="40">
        <f t="shared" si="1"/>
        <v>11.1</v>
      </c>
      <c r="Q19" s="19">
        <f t="shared" si="2"/>
        <v>0.15625</v>
      </c>
      <c r="R19" s="19">
        <f t="shared" si="9"/>
        <v>0.68541666666666667</v>
      </c>
      <c r="S19" s="9"/>
      <c r="T19" s="9"/>
      <c r="U19" s="16">
        <f t="shared" si="10"/>
        <v>0</v>
      </c>
      <c r="V19" s="27">
        <v>550</v>
      </c>
      <c r="W19" s="16">
        <f t="shared" si="7"/>
        <v>5130</v>
      </c>
      <c r="X19" s="9">
        <f t="shared" si="3"/>
        <v>550</v>
      </c>
      <c r="Y19" s="16">
        <f t="shared" si="11"/>
        <v>5130</v>
      </c>
      <c r="Z19" s="16">
        <f t="shared" si="4"/>
        <v>0</v>
      </c>
      <c r="AA19" s="27">
        <v>160</v>
      </c>
      <c r="AB19" s="9"/>
      <c r="AC19" s="28"/>
      <c r="AD19" s="27"/>
      <c r="AE19" s="28"/>
      <c r="AF19" s="28"/>
      <c r="AG19" s="28"/>
      <c r="AH19" s="17">
        <f t="shared" si="12"/>
        <v>0</v>
      </c>
    </row>
    <row r="20" spans="1:34" ht="13">
      <c r="A20" s="47" t="s">
        <v>91</v>
      </c>
      <c r="B20" s="42">
        <v>45453</v>
      </c>
      <c r="C20" s="44"/>
      <c r="D20" s="45" t="s">
        <v>35</v>
      </c>
      <c r="E20" s="46"/>
      <c r="F20" s="4"/>
      <c r="G20" s="15">
        <f t="shared" si="8"/>
        <v>968</v>
      </c>
      <c r="H20" s="9">
        <f>ROUND(PRODUCT(G20/17),0)</f>
        <v>57</v>
      </c>
      <c r="I20" s="9">
        <f>ROUND(PRODUCT(G20/COUNT(F4:F20)),0)</f>
        <v>97</v>
      </c>
      <c r="J20" s="36"/>
      <c r="K20" s="19">
        <f t="shared" si="5"/>
        <v>2.1305555555555555</v>
      </c>
      <c r="L20" s="40">
        <f t="shared" si="0"/>
        <v>0</v>
      </c>
      <c r="M20" s="33"/>
      <c r="N20" s="36"/>
      <c r="O20" s="19">
        <f t="shared" si="6"/>
        <v>2.8159722222222219</v>
      </c>
      <c r="P20" s="40">
        <f t="shared" si="1"/>
        <v>0</v>
      </c>
      <c r="Q20" s="19">
        <f t="shared" si="2"/>
        <v>0</v>
      </c>
      <c r="R20" s="19">
        <f t="shared" si="9"/>
        <v>0.68541666666666667</v>
      </c>
      <c r="S20" s="27"/>
      <c r="T20" s="27"/>
      <c r="U20" s="16">
        <f t="shared" si="10"/>
        <v>0</v>
      </c>
      <c r="V20" s="27"/>
      <c r="W20" s="16">
        <f t="shared" si="7"/>
        <v>5130</v>
      </c>
      <c r="X20" s="9">
        <f t="shared" si="3"/>
        <v>0</v>
      </c>
      <c r="Y20" s="16">
        <f t="shared" si="11"/>
        <v>5130</v>
      </c>
      <c r="Z20" s="16">
        <f t="shared" si="4"/>
        <v>0</v>
      </c>
      <c r="AA20" s="27"/>
      <c r="AB20" s="9"/>
      <c r="AC20" s="28"/>
      <c r="AD20" s="27"/>
      <c r="AE20" s="28"/>
      <c r="AF20" s="28"/>
      <c r="AG20" s="28"/>
      <c r="AH20" s="17">
        <f t="shared" si="12"/>
        <v>0</v>
      </c>
    </row>
    <row r="21" spans="1:34" ht="13">
      <c r="A21" s="47" t="s">
        <v>67</v>
      </c>
      <c r="B21" s="42">
        <v>45454</v>
      </c>
      <c r="C21" s="44" t="s">
        <v>35</v>
      </c>
      <c r="D21" s="45" t="s">
        <v>50</v>
      </c>
      <c r="E21" s="46" t="s">
        <v>35</v>
      </c>
      <c r="F21" s="4">
        <v>73</v>
      </c>
      <c r="G21" s="15">
        <f t="shared" si="8"/>
        <v>1041</v>
      </c>
      <c r="H21" s="9">
        <f>ROUND(PRODUCT(G21/18),0)</f>
        <v>58</v>
      </c>
      <c r="I21" s="9">
        <f>ROUND(PRODUCT(G21/COUNT(F4:F21)),0)</f>
        <v>95</v>
      </c>
      <c r="J21" s="36">
        <v>0.15277777777777779</v>
      </c>
      <c r="K21" s="19">
        <f t="shared" si="5"/>
        <v>2.2833333333333332</v>
      </c>
      <c r="L21" s="40">
        <f t="shared" si="0"/>
        <v>19.899999999999999</v>
      </c>
      <c r="M21" s="33">
        <v>42</v>
      </c>
      <c r="N21" s="36">
        <v>0.16666666666666666</v>
      </c>
      <c r="O21" s="19">
        <f t="shared" si="6"/>
        <v>2.9826388888888884</v>
      </c>
      <c r="P21" s="40">
        <f t="shared" si="1"/>
        <v>18.3</v>
      </c>
      <c r="Q21" s="19">
        <f t="shared" si="2"/>
        <v>1.3888888888888867E-2</v>
      </c>
      <c r="R21" s="19">
        <f t="shared" si="9"/>
        <v>0.69930555555555551</v>
      </c>
      <c r="S21" s="27"/>
      <c r="T21" s="27"/>
      <c r="U21" s="16">
        <f t="shared" si="10"/>
        <v>0</v>
      </c>
      <c r="V21" s="27">
        <v>300</v>
      </c>
      <c r="W21" s="16">
        <f t="shared" si="7"/>
        <v>5430</v>
      </c>
      <c r="X21" s="9">
        <f t="shared" si="3"/>
        <v>300</v>
      </c>
      <c r="Y21" s="16">
        <f t="shared" si="11"/>
        <v>5430</v>
      </c>
      <c r="Z21" s="16">
        <f t="shared" si="4"/>
        <v>0</v>
      </c>
      <c r="AA21" s="27">
        <v>210</v>
      </c>
      <c r="AB21" s="27"/>
      <c r="AC21" s="28"/>
      <c r="AD21" s="27"/>
      <c r="AE21" s="28"/>
      <c r="AF21" s="28"/>
      <c r="AG21" s="28"/>
      <c r="AH21" s="17">
        <f t="shared" si="12"/>
        <v>0</v>
      </c>
    </row>
    <row r="22" spans="1:34" ht="13">
      <c r="A22" s="41" t="s">
        <v>68</v>
      </c>
      <c r="B22" s="42">
        <v>45455</v>
      </c>
      <c r="C22" s="44" t="s">
        <v>35</v>
      </c>
      <c r="D22" s="45" t="s">
        <v>51</v>
      </c>
      <c r="E22" s="46" t="s">
        <v>35</v>
      </c>
      <c r="F22" s="4">
        <v>57</v>
      </c>
      <c r="G22" s="15">
        <f t="shared" si="8"/>
        <v>1098</v>
      </c>
      <c r="H22" s="9">
        <f>ROUND(PRODUCT(G22/19),0)</f>
        <v>58</v>
      </c>
      <c r="I22" s="9">
        <f>ROUND(PRODUCT(G22/COUNT(F4:F22)),0)</f>
        <v>92</v>
      </c>
      <c r="J22" s="36">
        <v>0.1388888888888889</v>
      </c>
      <c r="K22" s="19">
        <f t="shared" si="5"/>
        <v>2.4222222222222221</v>
      </c>
      <c r="L22" s="40">
        <f t="shared" si="0"/>
        <v>17.100000000000001</v>
      </c>
      <c r="M22" s="33">
        <v>35</v>
      </c>
      <c r="N22" s="36">
        <v>0.16666666666666666</v>
      </c>
      <c r="O22" s="19">
        <f t="shared" si="6"/>
        <v>3.1493055555555549</v>
      </c>
      <c r="P22" s="40">
        <f t="shared" si="1"/>
        <v>14.3</v>
      </c>
      <c r="Q22" s="19">
        <f t="shared" si="2"/>
        <v>2.7777777777777762E-2</v>
      </c>
      <c r="R22" s="19">
        <f t="shared" si="9"/>
        <v>0.7270833333333333</v>
      </c>
      <c r="S22" s="27"/>
      <c r="T22" s="27"/>
      <c r="U22" s="16">
        <f t="shared" si="10"/>
        <v>0</v>
      </c>
      <c r="V22" s="27">
        <v>200</v>
      </c>
      <c r="W22" s="16">
        <f t="shared" si="7"/>
        <v>5630</v>
      </c>
      <c r="X22" s="9">
        <f t="shared" si="3"/>
        <v>200</v>
      </c>
      <c r="Y22" s="16">
        <f t="shared" si="11"/>
        <v>5630</v>
      </c>
      <c r="Z22" s="16">
        <f t="shared" si="4"/>
        <v>0</v>
      </c>
      <c r="AA22" s="27">
        <v>210</v>
      </c>
      <c r="AB22" s="27"/>
      <c r="AC22" s="28"/>
      <c r="AD22" s="27"/>
      <c r="AE22" s="28"/>
      <c r="AF22" s="28"/>
      <c r="AG22" s="28"/>
      <c r="AH22" s="17">
        <f t="shared" si="12"/>
        <v>0</v>
      </c>
    </row>
    <row r="23" spans="1:34" ht="13">
      <c r="A23" s="41" t="s">
        <v>92</v>
      </c>
      <c r="B23" s="42">
        <v>45456</v>
      </c>
      <c r="C23" s="44"/>
      <c r="D23" s="49" t="s">
        <v>35</v>
      </c>
      <c r="E23" s="46"/>
      <c r="F23" s="4"/>
      <c r="G23" s="15">
        <f t="shared" si="8"/>
        <v>1098</v>
      </c>
      <c r="H23" s="9">
        <f>ROUND(PRODUCT(G23/20),0)</f>
        <v>55</v>
      </c>
      <c r="I23" s="9">
        <f>ROUND(PRODUCT(G23/COUNT(F4:F23)),0)</f>
        <v>92</v>
      </c>
      <c r="J23" s="36"/>
      <c r="K23" s="19">
        <f t="shared" si="5"/>
        <v>2.4222222222222221</v>
      </c>
      <c r="L23" s="40">
        <f t="shared" si="0"/>
        <v>0</v>
      </c>
      <c r="M23" s="33"/>
      <c r="N23" s="36"/>
      <c r="O23" s="19">
        <f t="shared" si="6"/>
        <v>3.1493055555555549</v>
      </c>
      <c r="P23" s="40">
        <f t="shared" si="1"/>
        <v>0</v>
      </c>
      <c r="Q23" s="19">
        <f t="shared" si="2"/>
        <v>0</v>
      </c>
      <c r="R23" s="19">
        <f t="shared" si="9"/>
        <v>0.7270833333333333</v>
      </c>
      <c r="S23" s="27"/>
      <c r="T23" s="27"/>
      <c r="U23" s="16">
        <f t="shared" si="10"/>
        <v>0</v>
      </c>
      <c r="V23" s="27"/>
      <c r="W23" s="16">
        <f t="shared" si="7"/>
        <v>5630</v>
      </c>
      <c r="X23" s="9">
        <f t="shared" si="3"/>
        <v>0</v>
      </c>
      <c r="Y23" s="16">
        <f t="shared" si="11"/>
        <v>5630</v>
      </c>
      <c r="Z23" s="16">
        <f t="shared" si="4"/>
        <v>0</v>
      </c>
      <c r="AA23" s="27"/>
      <c r="AB23" s="27"/>
      <c r="AC23" s="28"/>
      <c r="AD23" s="27"/>
      <c r="AE23" s="28"/>
      <c r="AF23" s="28"/>
      <c r="AG23" s="28"/>
      <c r="AH23" s="17">
        <f t="shared" si="12"/>
        <v>0</v>
      </c>
    </row>
    <row r="24" spans="1:34" ht="13">
      <c r="A24" s="41" t="s">
        <v>93</v>
      </c>
      <c r="B24" s="42">
        <v>45457</v>
      </c>
      <c r="C24" s="44"/>
      <c r="D24" s="45" t="s">
        <v>35</v>
      </c>
      <c r="E24" s="46"/>
      <c r="F24" s="4"/>
      <c r="G24" s="15">
        <f t="shared" si="8"/>
        <v>1098</v>
      </c>
      <c r="H24" s="9">
        <f>ROUND(PRODUCT(G24/21),0)</f>
        <v>52</v>
      </c>
      <c r="I24" s="9">
        <f>ROUND(PRODUCT(G24/COUNT(F4:F24)),0)</f>
        <v>92</v>
      </c>
      <c r="J24" s="36"/>
      <c r="K24" s="19">
        <f t="shared" si="5"/>
        <v>2.4222222222222221</v>
      </c>
      <c r="L24" s="40">
        <f t="shared" si="0"/>
        <v>0</v>
      </c>
      <c r="M24" s="33"/>
      <c r="N24" s="36"/>
      <c r="O24" s="19">
        <f t="shared" si="6"/>
        <v>3.1493055555555549</v>
      </c>
      <c r="P24" s="40">
        <f t="shared" si="1"/>
        <v>0</v>
      </c>
      <c r="Q24" s="19">
        <f t="shared" si="2"/>
        <v>0</v>
      </c>
      <c r="R24" s="19">
        <f t="shared" si="9"/>
        <v>0.7270833333333333</v>
      </c>
      <c r="S24" s="27"/>
      <c r="T24" s="27"/>
      <c r="U24" s="16">
        <f t="shared" si="10"/>
        <v>0</v>
      </c>
      <c r="V24" s="27"/>
      <c r="W24" s="16">
        <f t="shared" si="7"/>
        <v>5630</v>
      </c>
      <c r="X24" s="9">
        <f t="shared" si="3"/>
        <v>0</v>
      </c>
      <c r="Y24" s="16">
        <f t="shared" si="11"/>
        <v>5630</v>
      </c>
      <c r="Z24" s="16">
        <f t="shared" si="4"/>
        <v>0</v>
      </c>
      <c r="AA24" s="27"/>
      <c r="AB24" s="27"/>
      <c r="AC24" s="28"/>
      <c r="AD24" s="27"/>
      <c r="AE24" s="28"/>
      <c r="AF24" s="28"/>
      <c r="AG24" s="28"/>
      <c r="AH24" s="17">
        <f t="shared" si="12"/>
        <v>0</v>
      </c>
    </row>
    <row r="25" spans="1:34" ht="13">
      <c r="A25" s="41" t="s">
        <v>94</v>
      </c>
      <c r="B25" s="42">
        <v>45458</v>
      </c>
      <c r="C25" s="44"/>
      <c r="D25" s="45" t="s">
        <v>35</v>
      </c>
      <c r="E25" s="46"/>
      <c r="F25" s="4"/>
      <c r="G25" s="15">
        <f t="shared" si="8"/>
        <v>1098</v>
      </c>
      <c r="H25" s="9">
        <f>ROUND(PRODUCT(G25/22),0)</f>
        <v>50</v>
      </c>
      <c r="I25" s="9">
        <f>ROUND(PRODUCT(G25/COUNT(F4:F25)),0)</f>
        <v>92</v>
      </c>
      <c r="J25" s="36"/>
      <c r="K25" s="19">
        <f t="shared" si="5"/>
        <v>2.4222222222222221</v>
      </c>
      <c r="L25" s="40">
        <f t="shared" si="0"/>
        <v>0</v>
      </c>
      <c r="M25" s="33"/>
      <c r="N25" s="36"/>
      <c r="O25" s="19">
        <f t="shared" si="6"/>
        <v>3.1493055555555549</v>
      </c>
      <c r="P25" s="40">
        <f t="shared" si="1"/>
        <v>0</v>
      </c>
      <c r="Q25" s="19">
        <f t="shared" si="2"/>
        <v>0</v>
      </c>
      <c r="R25" s="19">
        <f t="shared" si="9"/>
        <v>0.7270833333333333</v>
      </c>
      <c r="S25" s="27"/>
      <c r="T25" s="27"/>
      <c r="U25" s="16">
        <f t="shared" si="10"/>
        <v>0</v>
      </c>
      <c r="V25" s="27"/>
      <c r="W25" s="16">
        <f t="shared" si="7"/>
        <v>5630</v>
      </c>
      <c r="X25" s="9">
        <f t="shared" si="3"/>
        <v>0</v>
      </c>
      <c r="Y25" s="16">
        <f t="shared" si="11"/>
        <v>5630</v>
      </c>
      <c r="Z25" s="16">
        <f t="shared" si="4"/>
        <v>0</v>
      </c>
      <c r="AA25" s="27"/>
      <c r="AB25" s="27"/>
      <c r="AC25" s="28"/>
      <c r="AD25" s="27"/>
      <c r="AE25" s="28"/>
      <c r="AF25" s="28"/>
      <c r="AG25" s="28"/>
      <c r="AH25" s="17">
        <f t="shared" si="12"/>
        <v>0</v>
      </c>
    </row>
    <row r="26" spans="1:34" ht="13">
      <c r="A26" s="47" t="s">
        <v>69</v>
      </c>
      <c r="B26" s="42">
        <v>45459</v>
      </c>
      <c r="C26" s="44" t="s">
        <v>35</v>
      </c>
      <c r="D26" s="45" t="s">
        <v>52</v>
      </c>
      <c r="E26" s="46" t="s">
        <v>35</v>
      </c>
      <c r="F26" s="4">
        <v>204</v>
      </c>
      <c r="G26" s="15">
        <f t="shared" si="8"/>
        <v>1302</v>
      </c>
      <c r="H26" s="9">
        <f>ROUND(PRODUCT(G26/23),0)</f>
        <v>57</v>
      </c>
      <c r="I26" s="9">
        <f>ROUND(PRODUCT(G26/COUNT(F4:F26)),0)</f>
        <v>100</v>
      </c>
      <c r="J26" s="36">
        <v>0.39583333333333331</v>
      </c>
      <c r="K26" s="19">
        <f t="shared" si="5"/>
        <v>2.8180555555555555</v>
      </c>
      <c r="L26" s="40">
        <f t="shared" si="0"/>
        <v>21.5</v>
      </c>
      <c r="M26" s="33">
        <v>50</v>
      </c>
      <c r="N26" s="36">
        <v>0.5625</v>
      </c>
      <c r="O26" s="19">
        <f t="shared" si="6"/>
        <v>3.7118055555555549</v>
      </c>
      <c r="P26" s="40">
        <f t="shared" si="1"/>
        <v>15.1</v>
      </c>
      <c r="Q26" s="19">
        <f t="shared" si="2"/>
        <v>0.16666666666666669</v>
      </c>
      <c r="R26" s="19">
        <f t="shared" si="9"/>
        <v>0.89375000000000004</v>
      </c>
      <c r="S26" s="27"/>
      <c r="T26" s="27"/>
      <c r="U26" s="16">
        <f t="shared" si="10"/>
        <v>0</v>
      </c>
      <c r="V26" s="27">
        <v>970</v>
      </c>
      <c r="W26" s="16">
        <f t="shared" si="7"/>
        <v>6600</v>
      </c>
      <c r="X26" s="9">
        <f t="shared" si="3"/>
        <v>970</v>
      </c>
      <c r="Y26" s="16">
        <f t="shared" si="11"/>
        <v>6600</v>
      </c>
      <c r="Z26" s="16">
        <f t="shared" si="4"/>
        <v>0</v>
      </c>
      <c r="AA26" s="27">
        <v>190</v>
      </c>
      <c r="AB26" s="27"/>
      <c r="AC26" s="28"/>
      <c r="AD26" s="27"/>
      <c r="AE26" s="28"/>
      <c r="AF26" s="28"/>
      <c r="AG26" s="28"/>
      <c r="AH26" s="17">
        <f t="shared" si="12"/>
        <v>0</v>
      </c>
    </row>
    <row r="27" spans="1:34" ht="13">
      <c r="A27" s="47" t="s">
        <v>70</v>
      </c>
      <c r="B27" s="42">
        <v>45460</v>
      </c>
      <c r="C27" s="44" t="s">
        <v>35</v>
      </c>
      <c r="D27" s="49" t="s">
        <v>53</v>
      </c>
      <c r="E27" s="46" t="s">
        <v>35</v>
      </c>
      <c r="F27" s="4">
        <v>65</v>
      </c>
      <c r="G27" s="15">
        <f t="shared" si="8"/>
        <v>1367</v>
      </c>
      <c r="H27" s="9">
        <f>ROUND(PRODUCT(G27/24),0)</f>
        <v>57</v>
      </c>
      <c r="I27" s="9">
        <f>ROUND(PRODUCT(G27/COUNT(F4:F27)),0)</f>
        <v>98</v>
      </c>
      <c r="J27" s="36">
        <v>0.1423611111111111</v>
      </c>
      <c r="K27" s="19">
        <f t="shared" si="5"/>
        <v>2.9604166666666667</v>
      </c>
      <c r="L27" s="40">
        <f t="shared" si="0"/>
        <v>19</v>
      </c>
      <c r="M27" s="33">
        <v>35</v>
      </c>
      <c r="N27" s="36">
        <v>0.3125</v>
      </c>
      <c r="O27" s="19">
        <f t="shared" si="6"/>
        <v>4.0243055555555554</v>
      </c>
      <c r="P27" s="40">
        <f t="shared" si="1"/>
        <v>8.6999999999999993</v>
      </c>
      <c r="Q27" s="19">
        <f t="shared" si="2"/>
        <v>0.1701388888888889</v>
      </c>
      <c r="R27" s="19">
        <f t="shared" si="9"/>
        <v>1.0638888888888889</v>
      </c>
      <c r="S27" s="27"/>
      <c r="T27" s="27"/>
      <c r="U27" s="16">
        <f t="shared" si="10"/>
        <v>0</v>
      </c>
      <c r="V27" s="27">
        <v>370</v>
      </c>
      <c r="W27" s="16">
        <f t="shared" si="7"/>
        <v>6970</v>
      </c>
      <c r="X27" s="9">
        <f t="shared" si="3"/>
        <v>370</v>
      </c>
      <c r="Y27" s="16">
        <f t="shared" si="11"/>
        <v>6970</v>
      </c>
      <c r="Z27" s="16">
        <f t="shared" si="4"/>
        <v>0</v>
      </c>
      <c r="AA27" s="27">
        <v>250</v>
      </c>
      <c r="AB27" s="27"/>
      <c r="AC27" s="28"/>
      <c r="AD27" s="27"/>
      <c r="AE27" s="28"/>
      <c r="AF27" s="28"/>
      <c r="AG27" s="28"/>
      <c r="AH27" s="17">
        <f t="shared" si="12"/>
        <v>0</v>
      </c>
    </row>
    <row r="28" spans="1:34" ht="13">
      <c r="A28" s="47" t="s">
        <v>71</v>
      </c>
      <c r="B28" s="42">
        <v>45461</v>
      </c>
      <c r="C28" s="44" t="s">
        <v>35</v>
      </c>
      <c r="D28" s="45" t="s">
        <v>54</v>
      </c>
      <c r="E28" s="46" t="s">
        <v>35</v>
      </c>
      <c r="F28" s="4">
        <v>105</v>
      </c>
      <c r="G28" s="15">
        <f t="shared" si="8"/>
        <v>1472</v>
      </c>
      <c r="H28" s="9">
        <f>ROUND(PRODUCT(G28/25),0)</f>
        <v>59</v>
      </c>
      <c r="I28" s="9">
        <f>ROUND(PRODUCT(G28/COUNT(F4:F28)),0)</f>
        <v>98</v>
      </c>
      <c r="J28" s="36">
        <v>0.21527777777777779</v>
      </c>
      <c r="K28" s="19">
        <f t="shared" si="5"/>
        <v>3.1756944444444444</v>
      </c>
      <c r="L28" s="40">
        <f t="shared" si="0"/>
        <v>20.3</v>
      </c>
      <c r="M28" s="33">
        <v>54.5</v>
      </c>
      <c r="N28" s="36">
        <v>0.22222222222222221</v>
      </c>
      <c r="O28" s="19">
        <f t="shared" si="6"/>
        <v>4.2465277777777777</v>
      </c>
      <c r="P28" s="40">
        <f t="shared" si="1"/>
        <v>19.7</v>
      </c>
      <c r="Q28" s="19">
        <f t="shared" si="2"/>
        <v>6.9444444444444198E-3</v>
      </c>
      <c r="R28" s="19">
        <f t="shared" si="9"/>
        <v>1.0708333333333333</v>
      </c>
      <c r="S28" s="27"/>
      <c r="T28" s="27"/>
      <c r="U28" s="16">
        <f t="shared" si="10"/>
        <v>0</v>
      </c>
      <c r="V28" s="27">
        <v>720</v>
      </c>
      <c r="W28" s="16">
        <f t="shared" si="7"/>
        <v>7690</v>
      </c>
      <c r="X28" s="9">
        <f t="shared" si="3"/>
        <v>720</v>
      </c>
      <c r="Y28" s="16">
        <f t="shared" si="11"/>
        <v>7690</v>
      </c>
      <c r="Z28" s="16">
        <f t="shared" si="4"/>
        <v>0</v>
      </c>
      <c r="AA28" s="27">
        <v>460</v>
      </c>
      <c r="AB28" s="27"/>
      <c r="AC28" s="28"/>
      <c r="AD28" s="27"/>
      <c r="AE28" s="28"/>
      <c r="AF28" s="28"/>
      <c r="AG28" s="28"/>
      <c r="AH28" s="17">
        <f t="shared" si="12"/>
        <v>0</v>
      </c>
    </row>
    <row r="29" spans="1:34" ht="13">
      <c r="A29" s="41" t="s">
        <v>95</v>
      </c>
      <c r="B29" s="42">
        <v>45462</v>
      </c>
      <c r="C29" s="44"/>
      <c r="D29" s="47" t="s">
        <v>35</v>
      </c>
      <c r="E29" s="46"/>
      <c r="F29" s="4"/>
      <c r="G29" s="15">
        <f t="shared" si="8"/>
        <v>1472</v>
      </c>
      <c r="H29" s="9">
        <f>ROUND(PRODUCT(G29/26),0)</f>
        <v>57</v>
      </c>
      <c r="I29" s="9">
        <f>ROUND(PRODUCT(G29/COUNT(F4:F29)),0)</f>
        <v>98</v>
      </c>
      <c r="J29" s="36"/>
      <c r="K29" s="19">
        <f t="shared" si="5"/>
        <v>3.1756944444444444</v>
      </c>
      <c r="L29" s="40">
        <f t="shared" si="0"/>
        <v>0</v>
      </c>
      <c r="M29" s="33"/>
      <c r="N29" s="36"/>
      <c r="O29" s="19">
        <f t="shared" si="6"/>
        <v>4.2465277777777777</v>
      </c>
      <c r="P29" s="40">
        <f t="shared" si="1"/>
        <v>0</v>
      </c>
      <c r="Q29" s="19">
        <f t="shared" si="2"/>
        <v>0</v>
      </c>
      <c r="R29" s="19">
        <f t="shared" si="9"/>
        <v>1.0708333333333333</v>
      </c>
      <c r="S29" s="27"/>
      <c r="T29" s="27"/>
      <c r="U29" s="16">
        <f t="shared" si="10"/>
        <v>0</v>
      </c>
      <c r="V29" s="48"/>
      <c r="W29" s="16">
        <f t="shared" si="7"/>
        <v>7690</v>
      </c>
      <c r="X29" s="9">
        <f t="shared" si="3"/>
        <v>0</v>
      </c>
      <c r="Y29" s="16">
        <f t="shared" si="11"/>
        <v>7690</v>
      </c>
      <c r="Z29" s="16">
        <f t="shared" si="4"/>
        <v>0</v>
      </c>
      <c r="AA29" s="27"/>
      <c r="AB29" s="27"/>
      <c r="AC29" s="28"/>
      <c r="AD29" s="27"/>
      <c r="AE29" s="28"/>
      <c r="AF29" s="28"/>
      <c r="AG29" s="28"/>
      <c r="AH29" s="17">
        <f t="shared" si="12"/>
        <v>0</v>
      </c>
    </row>
    <row r="30" spans="1:34" ht="13">
      <c r="A30" s="41" t="s">
        <v>72</v>
      </c>
      <c r="B30" s="42">
        <v>45463</v>
      </c>
      <c r="C30" s="44" t="s">
        <v>35</v>
      </c>
      <c r="D30" s="45" t="s">
        <v>55</v>
      </c>
      <c r="E30" s="46" t="s">
        <v>35</v>
      </c>
      <c r="F30" s="4">
        <v>61</v>
      </c>
      <c r="G30" s="15">
        <f t="shared" si="8"/>
        <v>1533</v>
      </c>
      <c r="H30" s="9">
        <f>ROUND(PRODUCT(G30/27),0)</f>
        <v>57</v>
      </c>
      <c r="I30" s="9">
        <f>ROUND(PRODUCT(G30/COUNT(F4:F30)),0)</f>
        <v>96</v>
      </c>
      <c r="J30" s="36">
        <v>0.125</v>
      </c>
      <c r="K30" s="19">
        <f t="shared" si="5"/>
        <v>3.3006944444444444</v>
      </c>
      <c r="L30" s="40">
        <f t="shared" si="0"/>
        <v>20.3</v>
      </c>
      <c r="M30" s="33">
        <v>43</v>
      </c>
      <c r="N30" s="36">
        <v>0.13541666666666666</v>
      </c>
      <c r="O30" s="19">
        <f t="shared" si="6"/>
        <v>4.3819444444444446</v>
      </c>
      <c r="P30" s="40">
        <f t="shared" si="1"/>
        <v>18.8</v>
      </c>
      <c r="Q30" s="19">
        <f t="shared" si="2"/>
        <v>1.0416666666666657E-2</v>
      </c>
      <c r="R30" s="19">
        <f t="shared" si="9"/>
        <v>1.08125</v>
      </c>
      <c r="S30" s="27"/>
      <c r="T30" s="27"/>
      <c r="U30" s="16">
        <f t="shared" si="10"/>
        <v>0</v>
      </c>
      <c r="V30" s="27">
        <v>270</v>
      </c>
      <c r="W30" s="16">
        <f t="shared" si="7"/>
        <v>7960</v>
      </c>
      <c r="X30" s="9">
        <f t="shared" si="3"/>
        <v>270</v>
      </c>
      <c r="Y30" s="16">
        <f t="shared" si="11"/>
        <v>7960</v>
      </c>
      <c r="Z30" s="16">
        <f t="shared" si="4"/>
        <v>0</v>
      </c>
      <c r="AA30" s="27">
        <v>220</v>
      </c>
      <c r="AB30" s="27"/>
      <c r="AC30" s="28"/>
      <c r="AD30" s="27"/>
      <c r="AE30" s="28"/>
      <c r="AF30" s="28"/>
      <c r="AG30" s="28"/>
      <c r="AH30" s="17">
        <f t="shared" si="12"/>
        <v>0</v>
      </c>
    </row>
    <row r="31" spans="1:34" ht="13">
      <c r="A31" s="41" t="s">
        <v>96</v>
      </c>
      <c r="B31" s="42">
        <v>45464</v>
      </c>
      <c r="C31" s="44"/>
      <c r="D31" s="47" t="s">
        <v>35</v>
      </c>
      <c r="E31" s="46"/>
      <c r="F31" s="4"/>
      <c r="G31" s="15">
        <f t="shared" si="8"/>
        <v>1533</v>
      </c>
      <c r="H31" s="9">
        <f>ROUND(PRODUCT(G31/28),0)</f>
        <v>55</v>
      </c>
      <c r="I31" s="9">
        <f>ROUND(PRODUCT(G31/COUNT(F4:F31)),0)</f>
        <v>96</v>
      </c>
      <c r="J31" s="36"/>
      <c r="K31" s="19">
        <f t="shared" si="5"/>
        <v>3.3006944444444444</v>
      </c>
      <c r="L31" s="40">
        <f t="shared" si="0"/>
        <v>0</v>
      </c>
      <c r="M31" s="33"/>
      <c r="N31" s="36"/>
      <c r="O31" s="19">
        <f t="shared" si="6"/>
        <v>4.3819444444444446</v>
      </c>
      <c r="P31" s="40">
        <f t="shared" si="1"/>
        <v>0</v>
      </c>
      <c r="Q31" s="19">
        <f t="shared" si="2"/>
        <v>0</v>
      </c>
      <c r="R31" s="19">
        <f t="shared" si="9"/>
        <v>1.08125</v>
      </c>
      <c r="S31" s="27"/>
      <c r="T31" s="27"/>
      <c r="U31" s="16">
        <f t="shared" si="10"/>
        <v>0</v>
      </c>
      <c r="V31" s="27"/>
      <c r="W31" s="16">
        <f t="shared" si="7"/>
        <v>7960</v>
      </c>
      <c r="X31" s="9">
        <f t="shared" si="3"/>
        <v>0</v>
      </c>
      <c r="Y31" s="16">
        <f t="shared" si="11"/>
        <v>7960</v>
      </c>
      <c r="Z31" s="16">
        <f t="shared" si="4"/>
        <v>0</v>
      </c>
      <c r="AA31" s="27"/>
      <c r="AB31" s="27"/>
      <c r="AC31" s="28"/>
      <c r="AD31" s="27"/>
      <c r="AE31" s="28"/>
      <c r="AF31" s="28"/>
      <c r="AG31" s="28"/>
      <c r="AH31" s="17">
        <f t="shared" si="12"/>
        <v>0</v>
      </c>
    </row>
    <row r="32" spans="1:34" ht="13">
      <c r="A32" s="41" t="s">
        <v>73</v>
      </c>
      <c r="B32" s="42">
        <v>45465</v>
      </c>
      <c r="C32" s="44" t="s">
        <v>35</v>
      </c>
      <c r="D32" s="45" t="s">
        <v>58</v>
      </c>
      <c r="E32" s="46" t="s">
        <v>56</v>
      </c>
      <c r="F32" s="4">
        <v>277</v>
      </c>
      <c r="G32" s="15">
        <f t="shared" ref="G32:G54" si="13">SUM(G31,F32)</f>
        <v>1810</v>
      </c>
      <c r="H32" s="9">
        <f>ROUND(PRODUCT(G32/29),0)</f>
        <v>62</v>
      </c>
      <c r="I32" s="9">
        <f>ROUND(PRODUCT(G32/COUNT(F4:F32)),0)</f>
        <v>106</v>
      </c>
      <c r="J32" s="36">
        <v>0.54166666666666663</v>
      </c>
      <c r="K32" s="19">
        <f t="shared" ref="K32:K54" si="14">SUM(J32,K31)</f>
        <v>3.8423611111111109</v>
      </c>
      <c r="L32" s="40">
        <f t="shared" ref="L32:L54" si="15">IF(F32=0,0,ROUND(PRODUCT(F32/SUM(HOUR(J32),PRODUCT(MINUTE(J32)/60))),1))</f>
        <v>21.3</v>
      </c>
      <c r="M32" s="33">
        <v>40</v>
      </c>
      <c r="N32" s="36">
        <v>0.64583333333333337</v>
      </c>
      <c r="O32" s="19">
        <f t="shared" ref="O32:O54" si="16">SUM(N32,O31)</f>
        <v>5.0277777777777777</v>
      </c>
      <c r="P32" s="40">
        <f t="shared" ref="P32:P54" si="17">IF(F32=0,0,ROUND(PRODUCT(F32/SUM(HOUR(N32),PRODUCT(MINUTE(N32)/60))),1))</f>
        <v>17.899999999999999</v>
      </c>
      <c r="Q32" s="19">
        <f t="shared" ref="Q32:Q54" si="18">SUM(N32,-J32)</f>
        <v>0.10416666666666674</v>
      </c>
      <c r="R32" s="19">
        <f t="shared" ref="R32:R54" si="19">SUM(Q32,R31)</f>
        <v>1.1854166666666668</v>
      </c>
      <c r="S32" s="27"/>
      <c r="T32" s="27"/>
      <c r="U32" s="16">
        <f t="shared" ref="U32:U54" si="20">SUM(-S32,T32)</f>
        <v>0</v>
      </c>
      <c r="V32" s="27">
        <v>689</v>
      </c>
      <c r="W32" s="16">
        <f t="shared" ref="W32:W54" si="21">SUM(W31,V32)</f>
        <v>8649</v>
      </c>
      <c r="X32" s="9">
        <f t="shared" ref="X32:X54" si="22">SUM(S32,-T32,V32)</f>
        <v>689</v>
      </c>
      <c r="Y32" s="16">
        <f t="shared" ref="Y32:Y54" si="23">SUM(Y31,X32)</f>
        <v>8649</v>
      </c>
      <c r="Z32" s="16">
        <f t="shared" ref="Z32:Z54" si="24">SUM(V32,-X32)</f>
        <v>0</v>
      </c>
      <c r="AA32" s="27">
        <v>333</v>
      </c>
      <c r="AB32" s="27"/>
      <c r="AC32" s="28"/>
      <c r="AD32" s="27"/>
      <c r="AE32" s="28"/>
      <c r="AF32" s="28"/>
      <c r="AG32" s="28"/>
      <c r="AH32" s="17">
        <f t="shared" ref="AH32:AH54" si="25">SUM(AG32,-AF32)</f>
        <v>0</v>
      </c>
    </row>
    <row r="33" spans="1:34" ht="13">
      <c r="A33" s="41" t="s">
        <v>74</v>
      </c>
      <c r="B33" s="42">
        <v>45466</v>
      </c>
      <c r="C33" s="44" t="s">
        <v>56</v>
      </c>
      <c r="D33" s="45" t="s">
        <v>57</v>
      </c>
      <c r="E33" s="46" t="s">
        <v>35</v>
      </c>
      <c r="F33" s="4">
        <v>153</v>
      </c>
      <c r="G33" s="15">
        <f t="shared" si="13"/>
        <v>1963</v>
      </c>
      <c r="H33" s="9">
        <f>ROUND(PRODUCT(G33/30),0)</f>
        <v>65</v>
      </c>
      <c r="I33" s="9">
        <f>ROUND(PRODUCT(G33/COUNT(F4:F33)),0)</f>
        <v>109</v>
      </c>
      <c r="J33" s="36">
        <v>0.30763888888888891</v>
      </c>
      <c r="K33" s="19">
        <f t="shared" si="14"/>
        <v>4.1499999999999995</v>
      </c>
      <c r="L33" s="40">
        <f t="shared" si="15"/>
        <v>20.7</v>
      </c>
      <c r="M33" s="33">
        <v>57.5</v>
      </c>
      <c r="N33" s="36">
        <v>0.35069444444444442</v>
      </c>
      <c r="O33" s="19">
        <f t="shared" si="16"/>
        <v>5.3784722222222223</v>
      </c>
      <c r="P33" s="40">
        <f t="shared" si="17"/>
        <v>18.2</v>
      </c>
      <c r="Q33" s="19">
        <f t="shared" si="18"/>
        <v>4.3055555555555514E-2</v>
      </c>
      <c r="R33" s="19">
        <f t="shared" si="19"/>
        <v>1.2284722222222224</v>
      </c>
      <c r="S33" s="27"/>
      <c r="T33" s="27"/>
      <c r="U33" s="16">
        <f t="shared" si="20"/>
        <v>0</v>
      </c>
      <c r="V33" s="27">
        <v>456</v>
      </c>
      <c r="W33" s="16">
        <f t="shared" si="21"/>
        <v>9105</v>
      </c>
      <c r="X33" s="9">
        <f t="shared" si="22"/>
        <v>456</v>
      </c>
      <c r="Y33" s="16">
        <f t="shared" si="23"/>
        <v>9105</v>
      </c>
      <c r="Z33" s="16">
        <f t="shared" si="24"/>
        <v>0</v>
      </c>
      <c r="AA33" s="27">
        <v>400</v>
      </c>
      <c r="AB33" s="27"/>
      <c r="AC33" s="28"/>
      <c r="AD33" s="27"/>
      <c r="AE33" s="28"/>
      <c r="AF33" s="28"/>
      <c r="AG33" s="28"/>
      <c r="AH33" s="17">
        <f t="shared" si="25"/>
        <v>0</v>
      </c>
    </row>
    <row r="34" spans="1:34" ht="13">
      <c r="A34" s="41" t="s">
        <v>97</v>
      </c>
      <c r="B34" s="42">
        <v>45467</v>
      </c>
      <c r="C34" s="44"/>
      <c r="D34" s="47" t="s">
        <v>35</v>
      </c>
      <c r="E34" s="46"/>
      <c r="F34" s="4"/>
      <c r="G34" s="15">
        <f t="shared" si="13"/>
        <v>1963</v>
      </c>
      <c r="H34" s="9">
        <f>ROUND(PRODUCT(G34/31),0)</f>
        <v>63</v>
      </c>
      <c r="I34" s="9">
        <f>ROUND(PRODUCT(G34/COUNT(F4:F34)),0)</f>
        <v>109</v>
      </c>
      <c r="J34" s="36"/>
      <c r="K34" s="19">
        <f t="shared" si="14"/>
        <v>4.1499999999999995</v>
      </c>
      <c r="L34" s="40">
        <f t="shared" si="15"/>
        <v>0</v>
      </c>
      <c r="M34" s="33"/>
      <c r="N34" s="36"/>
      <c r="O34" s="19">
        <f t="shared" si="16"/>
        <v>5.3784722222222223</v>
      </c>
      <c r="P34" s="40">
        <f t="shared" si="17"/>
        <v>0</v>
      </c>
      <c r="Q34" s="19">
        <f t="shared" si="18"/>
        <v>0</v>
      </c>
      <c r="R34" s="19">
        <f t="shared" si="19"/>
        <v>1.2284722222222224</v>
      </c>
      <c r="S34" s="27"/>
      <c r="T34" s="27"/>
      <c r="U34" s="16">
        <f t="shared" si="20"/>
        <v>0</v>
      </c>
      <c r="V34" s="27"/>
      <c r="W34" s="16">
        <f t="shared" si="21"/>
        <v>9105</v>
      </c>
      <c r="X34" s="9">
        <f t="shared" si="22"/>
        <v>0</v>
      </c>
      <c r="Y34" s="16">
        <f t="shared" si="23"/>
        <v>9105</v>
      </c>
      <c r="Z34" s="16">
        <f t="shared" si="24"/>
        <v>0</v>
      </c>
      <c r="AA34" s="27"/>
      <c r="AB34" s="27"/>
      <c r="AC34" s="28"/>
      <c r="AD34" s="27"/>
      <c r="AE34" s="28"/>
      <c r="AF34" s="28"/>
      <c r="AG34" s="28"/>
      <c r="AH34" s="17">
        <f t="shared" si="25"/>
        <v>0</v>
      </c>
    </row>
    <row r="35" spans="1:34" ht="13">
      <c r="A35" s="41" t="s">
        <v>75</v>
      </c>
      <c r="B35" s="42">
        <v>45468</v>
      </c>
      <c r="C35" s="44" t="s">
        <v>35</v>
      </c>
      <c r="D35" s="45" t="s">
        <v>59</v>
      </c>
      <c r="E35" s="46" t="s">
        <v>35</v>
      </c>
      <c r="F35" s="4">
        <v>74</v>
      </c>
      <c r="G35" s="15">
        <f t="shared" si="13"/>
        <v>2037</v>
      </c>
      <c r="H35" s="9">
        <f>ROUND(PRODUCT(G35/32),0)</f>
        <v>64</v>
      </c>
      <c r="I35" s="9">
        <f>ROUND(PRODUCT(G35/COUNT(F4:F35)),0)</f>
        <v>107</v>
      </c>
      <c r="J35" s="36">
        <v>0.15625</v>
      </c>
      <c r="K35" s="19">
        <f t="shared" si="14"/>
        <v>4.3062499999999995</v>
      </c>
      <c r="L35" s="40">
        <f t="shared" si="15"/>
        <v>19.7</v>
      </c>
      <c r="M35" s="33">
        <v>35</v>
      </c>
      <c r="N35" s="36">
        <v>0.16666666666666666</v>
      </c>
      <c r="O35" s="19">
        <f t="shared" si="16"/>
        <v>5.5451388888888893</v>
      </c>
      <c r="P35" s="40">
        <f t="shared" si="17"/>
        <v>18.5</v>
      </c>
      <c r="Q35" s="19">
        <f t="shared" si="18"/>
        <v>1.0416666666666657E-2</v>
      </c>
      <c r="R35" s="19">
        <f t="shared" si="19"/>
        <v>1.2388888888888892</v>
      </c>
      <c r="S35" s="27"/>
      <c r="T35" s="27"/>
      <c r="U35" s="16">
        <f t="shared" si="20"/>
        <v>0</v>
      </c>
      <c r="V35" s="27">
        <v>256</v>
      </c>
      <c r="W35" s="16">
        <f t="shared" si="21"/>
        <v>9361</v>
      </c>
      <c r="X35" s="9">
        <f t="shared" si="22"/>
        <v>256</v>
      </c>
      <c r="Y35" s="16">
        <f t="shared" si="23"/>
        <v>9361</v>
      </c>
      <c r="Z35" s="16">
        <f t="shared" si="24"/>
        <v>0</v>
      </c>
      <c r="AA35" s="27">
        <v>210</v>
      </c>
      <c r="AB35" s="27"/>
      <c r="AC35" s="28"/>
      <c r="AD35" s="27"/>
      <c r="AE35" s="28"/>
      <c r="AF35" s="28"/>
      <c r="AG35" s="28"/>
      <c r="AH35" s="17">
        <f t="shared" si="25"/>
        <v>0</v>
      </c>
    </row>
    <row r="36" spans="1:34" ht="13">
      <c r="A36" s="41" t="s">
        <v>76</v>
      </c>
      <c r="B36" s="42">
        <v>45469</v>
      </c>
      <c r="C36" s="44" t="s">
        <v>35</v>
      </c>
      <c r="D36" s="49" t="s">
        <v>60</v>
      </c>
      <c r="E36" s="46" t="s">
        <v>35</v>
      </c>
      <c r="F36" s="4">
        <v>58</v>
      </c>
      <c r="G36" s="15">
        <f t="shared" si="13"/>
        <v>2095</v>
      </c>
      <c r="H36" s="9">
        <f>ROUND(PRODUCT(G36/33),0)</f>
        <v>63</v>
      </c>
      <c r="I36" s="9">
        <f>ROUND(PRODUCT(G36/COUNT(F4:F36)),0)</f>
        <v>105</v>
      </c>
      <c r="J36" s="36">
        <v>0.125</v>
      </c>
      <c r="K36" s="19">
        <f t="shared" si="14"/>
        <v>4.4312499999999995</v>
      </c>
      <c r="L36" s="40">
        <f t="shared" si="15"/>
        <v>19.3</v>
      </c>
      <c r="M36" s="33">
        <v>33</v>
      </c>
      <c r="N36" s="36">
        <v>0.16666666666666666</v>
      </c>
      <c r="O36" s="19">
        <f t="shared" si="16"/>
        <v>5.7118055555555562</v>
      </c>
      <c r="P36" s="40">
        <f t="shared" si="17"/>
        <v>14.5</v>
      </c>
      <c r="Q36" s="19">
        <f t="shared" si="18"/>
        <v>4.1666666666666657E-2</v>
      </c>
      <c r="R36" s="19">
        <f t="shared" si="19"/>
        <v>1.2805555555555559</v>
      </c>
      <c r="S36" s="27"/>
      <c r="T36" s="27"/>
      <c r="U36" s="16">
        <f t="shared" si="20"/>
        <v>0</v>
      </c>
      <c r="V36" s="27">
        <v>200</v>
      </c>
      <c r="W36" s="16">
        <f t="shared" si="21"/>
        <v>9561</v>
      </c>
      <c r="X36" s="9">
        <f t="shared" si="22"/>
        <v>200</v>
      </c>
      <c r="Y36" s="16">
        <f t="shared" si="23"/>
        <v>9561</v>
      </c>
      <c r="Z36" s="16">
        <f t="shared" si="24"/>
        <v>0</v>
      </c>
      <c r="AA36" s="27">
        <v>210</v>
      </c>
      <c r="AB36" s="27"/>
      <c r="AC36" s="28"/>
      <c r="AD36" s="27"/>
      <c r="AE36" s="28"/>
      <c r="AF36" s="28"/>
      <c r="AG36" s="28"/>
      <c r="AH36" s="17">
        <f t="shared" si="25"/>
        <v>0</v>
      </c>
    </row>
    <row r="37" spans="1:34" ht="13">
      <c r="A37" s="41" t="s">
        <v>77</v>
      </c>
      <c r="B37" s="42">
        <v>45470</v>
      </c>
      <c r="C37" s="44" t="s">
        <v>35</v>
      </c>
      <c r="D37" s="45" t="s">
        <v>61</v>
      </c>
      <c r="E37" s="46" t="s">
        <v>35</v>
      </c>
      <c r="F37" s="4">
        <v>48</v>
      </c>
      <c r="G37" s="15">
        <f t="shared" si="13"/>
        <v>2143</v>
      </c>
      <c r="H37" s="9">
        <f>ROUND(PRODUCT(G37/34),0)</f>
        <v>63</v>
      </c>
      <c r="I37" s="9">
        <f>ROUND(PRODUCT(G37/COUNT(F4:F37)),0)</f>
        <v>102</v>
      </c>
      <c r="J37" s="36">
        <v>0.10138888888888889</v>
      </c>
      <c r="K37" s="19">
        <f t="shared" si="14"/>
        <v>4.5326388888888882</v>
      </c>
      <c r="L37" s="40">
        <f t="shared" si="15"/>
        <v>19.7</v>
      </c>
      <c r="M37" s="33">
        <v>52</v>
      </c>
      <c r="N37" s="36">
        <v>0.16666666666666666</v>
      </c>
      <c r="O37" s="19">
        <f t="shared" si="16"/>
        <v>5.8784722222222232</v>
      </c>
      <c r="P37" s="40">
        <f t="shared" si="17"/>
        <v>12</v>
      </c>
      <c r="Q37" s="19">
        <f t="shared" si="18"/>
        <v>6.5277777777777768E-2</v>
      </c>
      <c r="R37" s="19">
        <f t="shared" si="19"/>
        <v>1.3458333333333337</v>
      </c>
      <c r="S37" s="27"/>
      <c r="T37" s="27"/>
      <c r="U37" s="16">
        <f t="shared" si="20"/>
        <v>0</v>
      </c>
      <c r="V37" s="27">
        <v>150</v>
      </c>
      <c r="W37" s="16">
        <f t="shared" si="21"/>
        <v>9711</v>
      </c>
      <c r="X37" s="9">
        <f t="shared" si="22"/>
        <v>150</v>
      </c>
      <c r="Y37" s="16">
        <f t="shared" si="23"/>
        <v>9711</v>
      </c>
      <c r="Z37" s="16">
        <f t="shared" si="24"/>
        <v>0</v>
      </c>
      <c r="AA37" s="27">
        <v>210</v>
      </c>
      <c r="AB37" s="27"/>
      <c r="AC37" s="28"/>
      <c r="AD37" s="27"/>
      <c r="AE37" s="28"/>
      <c r="AF37" s="28"/>
      <c r="AG37" s="28"/>
      <c r="AH37" s="17">
        <f t="shared" si="25"/>
        <v>0</v>
      </c>
    </row>
    <row r="38" spans="1:34" ht="13">
      <c r="A38" s="41">
        <v>35</v>
      </c>
      <c r="B38" s="42">
        <v>45471</v>
      </c>
      <c r="C38" s="44"/>
      <c r="D38" s="45" t="s">
        <v>35</v>
      </c>
      <c r="E38" s="46"/>
      <c r="F38" s="4"/>
      <c r="G38" s="15">
        <f t="shared" si="13"/>
        <v>2143</v>
      </c>
      <c r="H38" s="9">
        <f>ROUND(PRODUCT(G38/35),0)</f>
        <v>61</v>
      </c>
      <c r="I38" s="9">
        <f>ROUND(PRODUCT(G38/COUNT(F4:F38)),0)</f>
        <v>102</v>
      </c>
      <c r="J38" s="36"/>
      <c r="K38" s="19">
        <f t="shared" si="14"/>
        <v>4.5326388888888882</v>
      </c>
      <c r="L38" s="40">
        <f t="shared" si="15"/>
        <v>0</v>
      </c>
      <c r="M38" s="33"/>
      <c r="N38" s="36"/>
      <c r="O38" s="19">
        <f t="shared" si="16"/>
        <v>5.8784722222222232</v>
      </c>
      <c r="P38" s="40">
        <f t="shared" si="17"/>
        <v>0</v>
      </c>
      <c r="Q38" s="19">
        <f t="shared" si="18"/>
        <v>0</v>
      </c>
      <c r="R38" s="19">
        <f t="shared" si="19"/>
        <v>1.3458333333333337</v>
      </c>
      <c r="S38" s="27"/>
      <c r="T38" s="27"/>
      <c r="U38" s="16">
        <f t="shared" si="20"/>
        <v>0</v>
      </c>
      <c r="V38" s="27"/>
      <c r="W38" s="16">
        <f t="shared" si="21"/>
        <v>9711</v>
      </c>
      <c r="X38" s="9">
        <f t="shared" si="22"/>
        <v>0</v>
      </c>
      <c r="Y38" s="16">
        <f t="shared" si="23"/>
        <v>9711</v>
      </c>
      <c r="Z38" s="16">
        <f t="shared" si="24"/>
        <v>0</v>
      </c>
      <c r="AA38" s="27"/>
      <c r="AB38" s="27"/>
      <c r="AC38" s="28"/>
      <c r="AD38" s="27"/>
      <c r="AE38" s="28"/>
      <c r="AF38" s="28"/>
      <c r="AG38" s="28"/>
      <c r="AH38" s="17">
        <f t="shared" si="25"/>
        <v>0</v>
      </c>
    </row>
    <row r="39" spans="1:34" ht="13">
      <c r="A39" s="41" t="s">
        <v>78</v>
      </c>
      <c r="B39" s="42">
        <v>45472</v>
      </c>
      <c r="C39" s="44" t="s">
        <v>35</v>
      </c>
      <c r="D39" s="45" t="s">
        <v>62</v>
      </c>
      <c r="E39" s="46" t="s">
        <v>35</v>
      </c>
      <c r="F39" s="4">
        <v>303</v>
      </c>
      <c r="G39" s="15">
        <f t="shared" si="13"/>
        <v>2446</v>
      </c>
      <c r="H39" s="9">
        <f>ROUND(PRODUCT(G39/36),0)</f>
        <v>68</v>
      </c>
      <c r="I39" s="9">
        <f>ROUND(PRODUCT(G39/COUNT(F4:F39)),0)</f>
        <v>111</v>
      </c>
      <c r="J39" s="36">
        <v>0.59166666666666667</v>
      </c>
      <c r="K39" s="19">
        <f t="shared" si="14"/>
        <v>5.124305555555555</v>
      </c>
      <c r="L39" s="40">
        <f t="shared" si="15"/>
        <v>21.3</v>
      </c>
      <c r="M39" s="33">
        <v>50</v>
      </c>
      <c r="N39" s="36">
        <v>0.65972222222222221</v>
      </c>
      <c r="O39" s="19">
        <f t="shared" si="16"/>
        <v>6.5381944444444455</v>
      </c>
      <c r="P39" s="40">
        <f t="shared" si="17"/>
        <v>19.100000000000001</v>
      </c>
      <c r="Q39" s="19">
        <f t="shared" si="18"/>
        <v>6.8055555555555536E-2</v>
      </c>
      <c r="R39" s="19">
        <f t="shared" si="19"/>
        <v>1.4138888888888892</v>
      </c>
      <c r="S39" s="27"/>
      <c r="T39" s="27"/>
      <c r="U39" s="16">
        <f t="shared" si="20"/>
        <v>0</v>
      </c>
      <c r="V39" s="27">
        <v>1080</v>
      </c>
      <c r="W39" s="16">
        <f t="shared" si="21"/>
        <v>10791</v>
      </c>
      <c r="X39" s="9">
        <f t="shared" si="22"/>
        <v>1080</v>
      </c>
      <c r="Y39" s="16">
        <f t="shared" si="23"/>
        <v>10791</v>
      </c>
      <c r="Z39" s="16">
        <f t="shared" si="24"/>
        <v>0</v>
      </c>
      <c r="AA39" s="27">
        <v>270</v>
      </c>
      <c r="AB39" s="27"/>
      <c r="AC39" s="28"/>
      <c r="AD39" s="27"/>
      <c r="AE39" s="28"/>
      <c r="AF39" s="28"/>
      <c r="AG39" s="28"/>
      <c r="AH39" s="17">
        <f t="shared" si="25"/>
        <v>0</v>
      </c>
    </row>
    <row r="40" spans="1:34" ht="13">
      <c r="A40" s="41" t="s">
        <v>98</v>
      </c>
      <c r="B40" s="42">
        <v>45473</v>
      </c>
      <c r="C40" s="44"/>
      <c r="D40" s="47" t="s">
        <v>35</v>
      </c>
      <c r="E40" s="46"/>
      <c r="F40" s="4"/>
      <c r="G40" s="15">
        <f t="shared" si="13"/>
        <v>2446</v>
      </c>
      <c r="H40" s="9">
        <f>ROUND(PRODUCT(G40/37),0)</f>
        <v>66</v>
      </c>
      <c r="I40" s="9">
        <f>ROUND(PRODUCT(G40/COUNT(F4:F40)),0)</f>
        <v>111</v>
      </c>
      <c r="J40" s="36"/>
      <c r="K40" s="19">
        <f t="shared" si="14"/>
        <v>5.124305555555555</v>
      </c>
      <c r="L40" s="40">
        <f t="shared" si="15"/>
        <v>0</v>
      </c>
      <c r="M40" s="33"/>
      <c r="N40" s="36"/>
      <c r="O40" s="19">
        <f t="shared" si="16"/>
        <v>6.5381944444444455</v>
      </c>
      <c r="P40" s="40">
        <f t="shared" si="17"/>
        <v>0</v>
      </c>
      <c r="Q40" s="19">
        <f t="shared" si="18"/>
        <v>0</v>
      </c>
      <c r="R40" s="19">
        <f t="shared" si="19"/>
        <v>1.4138888888888892</v>
      </c>
      <c r="S40" s="27"/>
      <c r="T40" s="27"/>
      <c r="U40" s="16">
        <f t="shared" si="20"/>
        <v>0</v>
      </c>
      <c r="V40" s="27"/>
      <c r="W40" s="16">
        <f t="shared" si="21"/>
        <v>10791</v>
      </c>
      <c r="X40" s="9">
        <f t="shared" si="22"/>
        <v>0</v>
      </c>
      <c r="Y40" s="16">
        <f t="shared" si="23"/>
        <v>10791</v>
      </c>
      <c r="Z40" s="16">
        <f t="shared" si="24"/>
        <v>0</v>
      </c>
      <c r="AA40" s="27"/>
      <c r="AB40" s="27"/>
      <c r="AC40" s="28"/>
      <c r="AD40" s="27"/>
      <c r="AE40" s="28"/>
      <c r="AF40" s="28"/>
      <c r="AG40" s="28"/>
      <c r="AH40" s="17">
        <f t="shared" si="25"/>
        <v>0</v>
      </c>
    </row>
    <row r="41" spans="1:34" ht="13">
      <c r="A41" s="41" t="s">
        <v>99</v>
      </c>
      <c r="B41" s="42">
        <v>45474</v>
      </c>
      <c r="C41" s="44"/>
      <c r="D41" s="47" t="s">
        <v>35</v>
      </c>
      <c r="E41" s="46"/>
      <c r="F41" s="4"/>
      <c r="G41" s="15">
        <f>SUM(G40,F41)</f>
        <v>2446</v>
      </c>
      <c r="H41" s="9">
        <f>ROUND(PRODUCT(G41/38),0)</f>
        <v>64</v>
      </c>
      <c r="I41">
        <f>ROUND(PRODUCT(G41/COUNT(F4:F41)),0)</f>
        <v>111</v>
      </c>
      <c r="J41" s="36"/>
      <c r="K41" s="19">
        <f>SUM(J41,K40)</f>
        <v>5.124305555555555</v>
      </c>
      <c r="L41" s="40">
        <f>IF(F41=0,0,ROUND(PRODUCT(F41/SUM(HOUR(J41),PRODUCT(MINUTE(J41)/60))),1))</f>
        <v>0</v>
      </c>
      <c r="M41" s="33"/>
      <c r="N41" s="36"/>
      <c r="O41" s="19">
        <f>SUM(N41,O40)</f>
        <v>6.5381944444444455</v>
      </c>
      <c r="P41" s="40">
        <f>IF(F41=0,0,ROUND(PRODUCT(F41/SUM(HOUR(N41),PRODUCT(MINUTE(N41)/60))),1))</f>
        <v>0</v>
      </c>
      <c r="Q41" s="19">
        <f>SUM(N41,-J41)</f>
        <v>0</v>
      </c>
      <c r="R41" s="19">
        <f>SUM(Q41,R40)</f>
        <v>1.4138888888888892</v>
      </c>
      <c r="S41" s="27"/>
      <c r="T41" s="27"/>
      <c r="U41" s="16">
        <f>SUM(-S41,T41)</f>
        <v>0</v>
      </c>
      <c r="V41" s="27"/>
      <c r="W41" s="16">
        <f>SUM(W40,V41)</f>
        <v>10791</v>
      </c>
      <c r="X41" s="9">
        <f>SUM(S41,-T41,V41)</f>
        <v>0</v>
      </c>
      <c r="Y41" s="16">
        <f>SUM(Y40,X41)</f>
        <v>10791</v>
      </c>
      <c r="Z41" s="16">
        <f>SUM(V41,-X41)</f>
        <v>0</v>
      </c>
      <c r="AA41" s="27"/>
      <c r="AB41" s="27"/>
      <c r="AC41" s="28"/>
      <c r="AD41" s="27"/>
      <c r="AE41" s="28"/>
      <c r="AF41" s="28"/>
      <c r="AG41" s="28"/>
      <c r="AH41" s="17">
        <f>SUM(AG41,-AF41)</f>
        <v>0</v>
      </c>
    </row>
    <row r="42" spans="1:34" ht="13">
      <c r="A42" s="41" t="s">
        <v>100</v>
      </c>
      <c r="B42" s="42">
        <v>45475</v>
      </c>
      <c r="C42" s="44"/>
      <c r="D42" s="47" t="s">
        <v>35</v>
      </c>
      <c r="E42" s="46"/>
      <c r="F42" s="4"/>
      <c r="G42" s="15">
        <f t="shared" si="13"/>
        <v>2446</v>
      </c>
      <c r="H42" s="9">
        <f>ROUND(PRODUCT(G42/39),0)</f>
        <v>63</v>
      </c>
      <c r="I42">
        <f>ROUND(PRODUCT(G42/COUNT(F4:F42)),0)</f>
        <v>111</v>
      </c>
      <c r="J42" s="36"/>
      <c r="K42" s="19">
        <f t="shared" si="14"/>
        <v>5.124305555555555</v>
      </c>
      <c r="L42" s="40">
        <f t="shared" si="15"/>
        <v>0</v>
      </c>
      <c r="M42" s="33"/>
      <c r="N42" s="36"/>
      <c r="O42" s="19">
        <f t="shared" si="16"/>
        <v>6.5381944444444455</v>
      </c>
      <c r="P42" s="40">
        <f t="shared" si="17"/>
        <v>0</v>
      </c>
      <c r="Q42" s="19">
        <f t="shared" si="18"/>
        <v>0</v>
      </c>
      <c r="R42" s="19">
        <f t="shared" si="19"/>
        <v>1.4138888888888892</v>
      </c>
      <c r="S42" s="27"/>
      <c r="T42" s="27"/>
      <c r="U42" s="16">
        <f t="shared" si="20"/>
        <v>0</v>
      </c>
      <c r="V42" s="27"/>
      <c r="W42" s="16">
        <f t="shared" si="21"/>
        <v>10791</v>
      </c>
      <c r="X42" s="9">
        <f t="shared" si="22"/>
        <v>0</v>
      </c>
      <c r="Y42" s="16">
        <f t="shared" si="23"/>
        <v>10791</v>
      </c>
      <c r="Z42" s="16">
        <f t="shared" si="24"/>
        <v>0</v>
      </c>
      <c r="AA42" s="27"/>
      <c r="AB42" s="27"/>
      <c r="AC42" s="28"/>
      <c r="AD42" s="27"/>
      <c r="AE42" s="28"/>
      <c r="AF42" s="28"/>
      <c r="AG42" s="28"/>
      <c r="AH42" s="17">
        <f t="shared" si="25"/>
        <v>0</v>
      </c>
    </row>
    <row r="43" spans="1:34" ht="13">
      <c r="A43" s="41" t="s">
        <v>101</v>
      </c>
      <c r="B43" s="42">
        <v>45476</v>
      </c>
      <c r="C43" s="44" t="s">
        <v>35</v>
      </c>
      <c r="D43" s="47" t="s">
        <v>113</v>
      </c>
      <c r="E43" s="46" t="s">
        <v>35</v>
      </c>
      <c r="F43" s="4">
        <v>100</v>
      </c>
      <c r="G43" s="15">
        <f t="shared" si="13"/>
        <v>2546</v>
      </c>
      <c r="H43" s="9">
        <f>ROUND(PRODUCT(G43/40),0)</f>
        <v>64</v>
      </c>
      <c r="I43">
        <f>ROUND(PRODUCT(G43/COUNT(F4:F43)),0)</f>
        <v>111</v>
      </c>
      <c r="J43" s="36">
        <v>0.21041666666666667</v>
      </c>
      <c r="K43" s="19">
        <f t="shared" si="14"/>
        <v>5.3347222222222213</v>
      </c>
      <c r="L43" s="40">
        <f t="shared" si="15"/>
        <v>19.8</v>
      </c>
      <c r="M43" s="33">
        <v>47.5</v>
      </c>
      <c r="N43" s="36">
        <v>0.29166666666666669</v>
      </c>
      <c r="O43" s="19">
        <f t="shared" si="16"/>
        <v>6.8298611111111125</v>
      </c>
      <c r="P43" s="40">
        <f t="shared" si="17"/>
        <v>14.3</v>
      </c>
      <c r="Q43" s="19">
        <f t="shared" si="18"/>
        <v>8.1250000000000017E-2</v>
      </c>
      <c r="R43" s="19">
        <f t="shared" si="19"/>
        <v>1.4951388888888892</v>
      </c>
      <c r="S43" s="27"/>
      <c r="T43" s="27"/>
      <c r="U43" s="16">
        <f t="shared" si="20"/>
        <v>0</v>
      </c>
      <c r="V43" s="27">
        <v>378</v>
      </c>
      <c r="W43" s="16">
        <f t="shared" si="21"/>
        <v>11169</v>
      </c>
      <c r="X43" s="9">
        <f t="shared" si="22"/>
        <v>378</v>
      </c>
      <c r="Y43" s="16">
        <f t="shared" si="23"/>
        <v>11169</v>
      </c>
      <c r="Z43" s="16">
        <f t="shared" si="24"/>
        <v>0</v>
      </c>
      <c r="AA43" s="27">
        <v>240</v>
      </c>
      <c r="AB43" s="27"/>
      <c r="AC43" s="28"/>
      <c r="AD43" s="27"/>
      <c r="AE43" s="28"/>
      <c r="AF43" s="28"/>
      <c r="AG43" s="28"/>
      <c r="AH43" s="17">
        <f t="shared" si="25"/>
        <v>0</v>
      </c>
    </row>
    <row r="44" spans="1:34" ht="13">
      <c r="A44" s="41" t="s">
        <v>102</v>
      </c>
      <c r="B44" s="42">
        <v>45477</v>
      </c>
      <c r="C44" s="44" t="s">
        <v>35</v>
      </c>
      <c r="D44" s="47" t="s">
        <v>114</v>
      </c>
      <c r="E44" s="46" t="s">
        <v>35</v>
      </c>
      <c r="F44" s="4">
        <v>82</v>
      </c>
      <c r="G44" s="15">
        <f t="shared" si="13"/>
        <v>2628</v>
      </c>
      <c r="H44" s="9">
        <f>ROUND(PRODUCT(G44/41),0)</f>
        <v>64</v>
      </c>
      <c r="I44">
        <f>ROUND(PRODUCT(G44/COUNT(F4:F44)),0)</f>
        <v>110</v>
      </c>
      <c r="J44" s="36">
        <v>0.17708333333333334</v>
      </c>
      <c r="K44" s="19">
        <f t="shared" si="14"/>
        <v>5.5118055555555543</v>
      </c>
      <c r="L44" s="40">
        <f t="shared" si="15"/>
        <v>19.3</v>
      </c>
      <c r="M44" s="32">
        <v>40.5</v>
      </c>
      <c r="N44" s="36">
        <v>0.25</v>
      </c>
      <c r="O44" s="19">
        <f t="shared" si="16"/>
        <v>7.0798611111111125</v>
      </c>
      <c r="P44" s="40">
        <f t="shared" si="17"/>
        <v>13.7</v>
      </c>
      <c r="Q44" s="19">
        <f t="shared" si="18"/>
        <v>7.2916666666666657E-2</v>
      </c>
      <c r="R44" s="19">
        <f t="shared" si="19"/>
        <v>1.568055555555556</v>
      </c>
      <c r="S44" s="27"/>
      <c r="T44" s="9"/>
      <c r="U44" s="16">
        <f t="shared" si="20"/>
        <v>0</v>
      </c>
      <c r="V44" s="27">
        <v>260</v>
      </c>
      <c r="W44" s="16">
        <f t="shared" si="21"/>
        <v>11429</v>
      </c>
      <c r="X44" s="9">
        <f t="shared" si="22"/>
        <v>260</v>
      </c>
      <c r="Y44" s="16">
        <f t="shared" si="23"/>
        <v>11429</v>
      </c>
      <c r="Z44" s="16">
        <f t="shared" si="24"/>
        <v>0</v>
      </c>
      <c r="AA44" s="27">
        <v>160</v>
      </c>
      <c r="AB44" s="9"/>
      <c r="AC44" s="28"/>
      <c r="AD44" s="27"/>
      <c r="AE44" s="28"/>
      <c r="AF44" s="28"/>
      <c r="AG44" s="28"/>
      <c r="AH44" s="17">
        <f t="shared" si="25"/>
        <v>0</v>
      </c>
    </row>
    <row r="45" spans="1:34" ht="13">
      <c r="A45" s="41" t="s">
        <v>103</v>
      </c>
      <c r="B45" s="42">
        <v>45478</v>
      </c>
      <c r="C45" s="44" t="s">
        <v>35</v>
      </c>
      <c r="D45" s="47" t="s">
        <v>118</v>
      </c>
      <c r="E45" s="46" t="s">
        <v>35</v>
      </c>
      <c r="F45" s="4">
        <v>75</v>
      </c>
      <c r="G45" s="15">
        <f t="shared" si="13"/>
        <v>2703</v>
      </c>
      <c r="H45" s="9">
        <f>ROUND(PRODUCT(G45/42),0)</f>
        <v>64</v>
      </c>
      <c r="I45">
        <f>ROUND(PRODUCT(G45/COUNT(F4:F45)),0)</f>
        <v>108</v>
      </c>
      <c r="J45" s="36">
        <v>0.16319444444444445</v>
      </c>
      <c r="K45" s="19">
        <f t="shared" si="14"/>
        <v>5.6749999999999989</v>
      </c>
      <c r="L45" s="40">
        <f t="shared" si="15"/>
        <v>19.100000000000001</v>
      </c>
      <c r="M45" s="32">
        <v>38.5</v>
      </c>
      <c r="N45" s="36">
        <v>0.25</v>
      </c>
      <c r="O45" s="19">
        <f t="shared" si="16"/>
        <v>7.3298611111111125</v>
      </c>
      <c r="P45" s="40">
        <f t="shared" si="17"/>
        <v>12.5</v>
      </c>
      <c r="Q45" s="19">
        <f t="shared" si="18"/>
        <v>8.6805555555555552E-2</v>
      </c>
      <c r="R45" s="19">
        <f t="shared" si="19"/>
        <v>1.6548611111111116</v>
      </c>
      <c r="S45" s="9"/>
      <c r="T45" s="27"/>
      <c r="U45" s="16">
        <f t="shared" si="20"/>
        <v>0</v>
      </c>
      <c r="V45" s="27">
        <v>260</v>
      </c>
      <c r="W45" s="16">
        <f t="shared" si="21"/>
        <v>11689</v>
      </c>
      <c r="X45" s="9">
        <f t="shared" si="22"/>
        <v>260</v>
      </c>
      <c r="Y45" s="16">
        <f t="shared" si="23"/>
        <v>11689</v>
      </c>
      <c r="Z45" s="16">
        <f t="shared" si="24"/>
        <v>0</v>
      </c>
      <c r="AA45" s="27">
        <v>165</v>
      </c>
      <c r="AB45" s="9"/>
      <c r="AC45" s="28"/>
      <c r="AD45" s="27"/>
      <c r="AE45" s="28"/>
      <c r="AF45" s="28"/>
      <c r="AG45" s="28"/>
      <c r="AH45" s="17">
        <f t="shared" si="25"/>
        <v>0</v>
      </c>
    </row>
    <row r="46" spans="1:34" ht="13">
      <c r="A46" s="41" t="s">
        <v>104</v>
      </c>
      <c r="B46" s="42">
        <v>45479</v>
      </c>
      <c r="C46" s="44" t="s">
        <v>35</v>
      </c>
      <c r="D46" s="53" t="s">
        <v>116</v>
      </c>
      <c r="E46" s="46" t="s">
        <v>115</v>
      </c>
      <c r="F46" s="4">
        <v>105</v>
      </c>
      <c r="G46" s="15">
        <f t="shared" si="13"/>
        <v>2808</v>
      </c>
      <c r="H46" s="9">
        <f>ROUND(PRODUCT(G46/43),0)</f>
        <v>65</v>
      </c>
      <c r="I46">
        <f>ROUND(PRODUCT(G46/COUNT(F4:F46)),0)</f>
        <v>108</v>
      </c>
      <c r="J46" s="36">
        <v>0.23819444444444443</v>
      </c>
      <c r="K46" s="19">
        <f t="shared" si="14"/>
        <v>5.9131944444444438</v>
      </c>
      <c r="L46" s="40">
        <f t="shared" si="15"/>
        <v>18.399999999999999</v>
      </c>
      <c r="M46" s="32">
        <v>48</v>
      </c>
      <c r="N46" s="36">
        <v>0.27083333333333331</v>
      </c>
      <c r="O46" s="19">
        <f t="shared" si="16"/>
        <v>7.6006944444444455</v>
      </c>
      <c r="P46" s="40">
        <f t="shared" si="17"/>
        <v>16.2</v>
      </c>
      <c r="Q46" s="19">
        <f t="shared" si="18"/>
        <v>3.2638888888888884E-2</v>
      </c>
      <c r="R46" s="19">
        <f t="shared" si="19"/>
        <v>1.6875000000000004</v>
      </c>
      <c r="S46" s="9"/>
      <c r="T46" s="9"/>
      <c r="U46" s="16">
        <f t="shared" si="20"/>
        <v>0</v>
      </c>
      <c r="V46" s="27">
        <v>442</v>
      </c>
      <c r="W46" s="16">
        <f t="shared" si="21"/>
        <v>12131</v>
      </c>
      <c r="X46" s="9">
        <f t="shared" si="22"/>
        <v>442</v>
      </c>
      <c r="Y46" s="16">
        <f t="shared" si="23"/>
        <v>12131</v>
      </c>
      <c r="Z46" s="16">
        <f t="shared" si="24"/>
        <v>0</v>
      </c>
      <c r="AA46" s="27">
        <v>240</v>
      </c>
      <c r="AB46" s="9"/>
      <c r="AC46" s="28"/>
      <c r="AD46" s="27"/>
      <c r="AE46" s="28"/>
      <c r="AF46" s="28"/>
      <c r="AG46" s="28"/>
      <c r="AH46" s="17">
        <f t="shared" si="25"/>
        <v>0</v>
      </c>
    </row>
    <row r="47" spans="1:34" ht="13">
      <c r="A47" s="41" t="s">
        <v>105</v>
      </c>
      <c r="B47" s="42">
        <v>45480</v>
      </c>
      <c r="C47" s="44" t="s">
        <v>115</v>
      </c>
      <c r="D47" s="45" t="s">
        <v>117</v>
      </c>
      <c r="E47" s="46" t="s">
        <v>35</v>
      </c>
      <c r="F47" s="4">
        <v>225</v>
      </c>
      <c r="G47" s="15">
        <f t="shared" si="13"/>
        <v>3033</v>
      </c>
      <c r="H47" s="9">
        <f>ROUND(PRODUCT(G47/44),0)</f>
        <v>69</v>
      </c>
      <c r="I47">
        <f>ROUND(PRODUCT(G47/COUNT(F4:F47)),0)</f>
        <v>112</v>
      </c>
      <c r="J47" s="36">
        <v>0.43194444444444446</v>
      </c>
      <c r="K47" s="19">
        <f t="shared" si="14"/>
        <v>6.3451388888888882</v>
      </c>
      <c r="L47" s="40">
        <f t="shared" si="15"/>
        <v>21.7</v>
      </c>
      <c r="M47" s="32">
        <v>43.5</v>
      </c>
      <c r="N47" s="36">
        <v>0.55208333333333337</v>
      </c>
      <c r="O47" s="19">
        <f t="shared" si="16"/>
        <v>8.1527777777777786</v>
      </c>
      <c r="P47" s="40">
        <f t="shared" si="17"/>
        <v>17</v>
      </c>
      <c r="Q47" s="19">
        <f t="shared" si="18"/>
        <v>0.12013888888888891</v>
      </c>
      <c r="R47" s="19">
        <f t="shared" si="19"/>
        <v>1.8076388888888895</v>
      </c>
      <c r="S47" s="27"/>
      <c r="T47" s="9"/>
      <c r="U47" s="16">
        <f t="shared" si="20"/>
        <v>0</v>
      </c>
      <c r="V47" s="27">
        <v>556</v>
      </c>
      <c r="W47" s="16">
        <f t="shared" si="21"/>
        <v>12687</v>
      </c>
      <c r="X47" s="9">
        <f t="shared" si="22"/>
        <v>556</v>
      </c>
      <c r="Y47" s="16">
        <f t="shared" si="23"/>
        <v>12687</v>
      </c>
      <c r="Z47" s="16">
        <f t="shared" si="24"/>
        <v>0</v>
      </c>
      <c r="AA47" s="27">
        <v>240</v>
      </c>
      <c r="AB47" s="9"/>
      <c r="AC47" s="28"/>
      <c r="AD47" s="27"/>
      <c r="AE47" s="28"/>
      <c r="AF47" s="28"/>
      <c r="AG47" s="28"/>
      <c r="AH47" s="17">
        <f t="shared" si="25"/>
        <v>0</v>
      </c>
    </row>
    <row r="48" spans="1:34" ht="13">
      <c r="A48" s="41" t="s">
        <v>106</v>
      </c>
      <c r="B48" s="42">
        <v>45481</v>
      </c>
      <c r="C48" s="44"/>
      <c r="D48" s="47" t="s">
        <v>35</v>
      </c>
      <c r="E48" s="46"/>
      <c r="F48" s="4"/>
      <c r="G48" s="15">
        <f t="shared" si="13"/>
        <v>3033</v>
      </c>
      <c r="H48" s="9">
        <f>ROUND(PRODUCT(G48/45),0)</f>
        <v>67</v>
      </c>
      <c r="I48">
        <f>ROUND(PRODUCT(G48/COUNT(F4:F48)),0)</f>
        <v>112</v>
      </c>
      <c r="J48" s="36"/>
      <c r="K48" s="19">
        <f t="shared" si="14"/>
        <v>6.3451388888888882</v>
      </c>
      <c r="L48" s="40">
        <f t="shared" si="15"/>
        <v>0</v>
      </c>
      <c r="M48" s="32"/>
      <c r="N48" s="36"/>
      <c r="O48" s="19">
        <f t="shared" si="16"/>
        <v>8.1527777777777786</v>
      </c>
      <c r="P48" s="40">
        <f t="shared" si="17"/>
        <v>0</v>
      </c>
      <c r="Q48" s="19">
        <f t="shared" si="18"/>
        <v>0</v>
      </c>
      <c r="R48" s="19">
        <f t="shared" si="19"/>
        <v>1.8076388888888895</v>
      </c>
      <c r="S48" s="9"/>
      <c r="T48" s="9"/>
      <c r="U48" s="16">
        <f t="shared" si="20"/>
        <v>0</v>
      </c>
      <c r="V48" s="27"/>
      <c r="W48" s="16">
        <f t="shared" si="21"/>
        <v>12687</v>
      </c>
      <c r="X48" s="9">
        <f t="shared" si="22"/>
        <v>0</v>
      </c>
      <c r="Y48" s="16">
        <f t="shared" si="23"/>
        <v>12687</v>
      </c>
      <c r="Z48" s="16">
        <f t="shared" si="24"/>
        <v>0</v>
      </c>
      <c r="AA48" s="27"/>
      <c r="AB48" s="9"/>
      <c r="AC48" s="28"/>
      <c r="AD48" s="27"/>
      <c r="AE48" s="28"/>
      <c r="AF48" s="28"/>
      <c r="AG48" s="28"/>
      <c r="AH48" s="17">
        <f t="shared" si="25"/>
        <v>0</v>
      </c>
    </row>
    <row r="49" spans="1:34" ht="13">
      <c r="A49" s="41" t="s">
        <v>107</v>
      </c>
      <c r="B49" s="42">
        <v>45482</v>
      </c>
      <c r="C49" s="44" t="s">
        <v>35</v>
      </c>
      <c r="D49" s="47" t="s">
        <v>119</v>
      </c>
      <c r="E49" s="46" t="s">
        <v>35</v>
      </c>
      <c r="F49" s="4">
        <v>36</v>
      </c>
      <c r="G49" s="15">
        <f t="shared" si="13"/>
        <v>3069</v>
      </c>
      <c r="H49" s="9">
        <f>ROUND(PRODUCT(G49/46),0)</f>
        <v>67</v>
      </c>
      <c r="I49">
        <f>ROUND(PRODUCT(G49/COUNT(F4:F49)),0)</f>
        <v>110</v>
      </c>
      <c r="J49" s="36">
        <v>8.3333333333333329E-2</v>
      </c>
      <c r="K49" s="19">
        <f t="shared" si="14"/>
        <v>6.4284722222222213</v>
      </c>
      <c r="L49" s="40">
        <f t="shared" si="15"/>
        <v>18</v>
      </c>
      <c r="M49" s="32">
        <v>35</v>
      </c>
      <c r="N49" s="36">
        <v>0.20833333333333334</v>
      </c>
      <c r="O49" s="19">
        <f t="shared" si="16"/>
        <v>8.3611111111111125</v>
      </c>
      <c r="P49" s="40">
        <f t="shared" si="17"/>
        <v>7.2</v>
      </c>
      <c r="Q49" s="19">
        <f t="shared" si="18"/>
        <v>0.125</v>
      </c>
      <c r="R49" s="19">
        <f t="shared" si="19"/>
        <v>1.9326388888888895</v>
      </c>
      <c r="S49" s="9"/>
      <c r="T49" s="9"/>
      <c r="U49" s="16">
        <f t="shared" si="20"/>
        <v>0</v>
      </c>
      <c r="V49" s="27">
        <v>200</v>
      </c>
      <c r="W49" s="16">
        <f t="shared" si="21"/>
        <v>12887</v>
      </c>
      <c r="X49" s="9">
        <f t="shared" si="22"/>
        <v>200</v>
      </c>
      <c r="Y49" s="16">
        <f t="shared" si="23"/>
        <v>12887</v>
      </c>
      <c r="Z49" s="16">
        <f t="shared" si="24"/>
        <v>0</v>
      </c>
      <c r="AA49" s="27">
        <v>210</v>
      </c>
      <c r="AB49" s="9"/>
      <c r="AC49" s="28"/>
      <c r="AD49" s="27"/>
      <c r="AE49" s="28"/>
      <c r="AF49" s="28"/>
      <c r="AG49" s="28"/>
      <c r="AH49" s="17">
        <f t="shared" si="25"/>
        <v>0</v>
      </c>
    </row>
    <row r="50" spans="1:34" ht="14.5">
      <c r="A50" s="41" t="s">
        <v>108</v>
      </c>
      <c r="B50" s="42">
        <v>45483</v>
      </c>
      <c r="C50" s="44" t="s">
        <v>35</v>
      </c>
      <c r="D50" s="54" t="s">
        <v>120</v>
      </c>
      <c r="E50" s="46" t="s">
        <v>35</v>
      </c>
      <c r="F50" s="4">
        <v>83</v>
      </c>
      <c r="G50" s="15">
        <f t="shared" si="13"/>
        <v>3152</v>
      </c>
      <c r="H50" s="9">
        <f>ROUND(PRODUCT(G50/47),0)</f>
        <v>67</v>
      </c>
      <c r="I50">
        <f>ROUND(PRODUCT(G50/COUNT(F4:F50)),0)</f>
        <v>109</v>
      </c>
      <c r="J50" s="36">
        <v>0.17708333333333334</v>
      </c>
      <c r="K50" s="19">
        <f t="shared" si="14"/>
        <v>6.6055555555555543</v>
      </c>
      <c r="L50" s="40">
        <f t="shared" si="15"/>
        <v>19.5</v>
      </c>
      <c r="M50" s="33">
        <v>45.9</v>
      </c>
      <c r="N50" s="36">
        <v>0.25</v>
      </c>
      <c r="O50" s="19">
        <f t="shared" si="16"/>
        <v>8.6111111111111125</v>
      </c>
      <c r="P50" s="40">
        <f t="shared" si="17"/>
        <v>13.8</v>
      </c>
      <c r="Q50" s="19">
        <f t="shared" si="18"/>
        <v>7.2916666666666657E-2</v>
      </c>
      <c r="R50" s="19">
        <f t="shared" si="19"/>
        <v>2.005555555555556</v>
      </c>
      <c r="S50" s="27"/>
      <c r="T50" s="27"/>
      <c r="U50" s="16">
        <f t="shared" si="20"/>
        <v>0</v>
      </c>
      <c r="V50" s="27">
        <v>470</v>
      </c>
      <c r="W50" s="16">
        <f t="shared" si="21"/>
        <v>13357</v>
      </c>
      <c r="X50" s="9">
        <f t="shared" si="22"/>
        <v>470</v>
      </c>
      <c r="Y50" s="16">
        <f t="shared" si="23"/>
        <v>13357</v>
      </c>
      <c r="Z50" s="16">
        <f t="shared" si="24"/>
        <v>0</v>
      </c>
      <c r="AA50" s="27">
        <v>210</v>
      </c>
      <c r="AB50" s="27"/>
      <c r="AC50" s="28"/>
      <c r="AD50" s="27"/>
      <c r="AE50" s="28"/>
      <c r="AF50" s="28"/>
      <c r="AG50" s="28"/>
      <c r="AH50" s="17">
        <f t="shared" si="25"/>
        <v>0</v>
      </c>
    </row>
    <row r="51" spans="1:34" ht="13">
      <c r="A51" s="41" t="s">
        <v>109</v>
      </c>
      <c r="B51" s="42">
        <v>45484</v>
      </c>
      <c r="C51" s="44"/>
      <c r="D51" s="47" t="s">
        <v>35</v>
      </c>
      <c r="E51" s="46"/>
      <c r="F51" s="4"/>
      <c r="G51" s="15">
        <f t="shared" si="13"/>
        <v>3152</v>
      </c>
      <c r="H51" s="9">
        <f>ROUND(PRODUCT(G51/48),0)</f>
        <v>66</v>
      </c>
      <c r="I51">
        <f>ROUND(PRODUCT(G51/COUNT(F4:F51)),0)</f>
        <v>109</v>
      </c>
      <c r="J51" s="36"/>
      <c r="K51" s="19">
        <f t="shared" si="14"/>
        <v>6.6055555555555543</v>
      </c>
      <c r="L51" s="40">
        <f t="shared" si="15"/>
        <v>0</v>
      </c>
      <c r="M51" s="33"/>
      <c r="N51" s="36"/>
      <c r="O51" s="19">
        <f t="shared" si="16"/>
        <v>8.6111111111111125</v>
      </c>
      <c r="P51" s="40">
        <f t="shared" si="17"/>
        <v>0</v>
      </c>
      <c r="Q51" s="19">
        <f t="shared" si="18"/>
        <v>0</v>
      </c>
      <c r="R51" s="19">
        <f t="shared" si="19"/>
        <v>2.005555555555556</v>
      </c>
      <c r="S51" s="27"/>
      <c r="T51" s="27"/>
      <c r="U51" s="16">
        <f t="shared" si="20"/>
        <v>0</v>
      </c>
      <c r="V51" s="27"/>
      <c r="W51" s="16">
        <f t="shared" si="21"/>
        <v>13357</v>
      </c>
      <c r="X51" s="9">
        <f t="shared" si="22"/>
        <v>0</v>
      </c>
      <c r="Y51" s="16">
        <f t="shared" si="23"/>
        <v>13357</v>
      </c>
      <c r="Z51" s="16">
        <f t="shared" si="24"/>
        <v>0</v>
      </c>
      <c r="AA51" s="27"/>
      <c r="AB51" s="27"/>
      <c r="AC51" s="28"/>
      <c r="AD51" s="27"/>
      <c r="AE51" s="28"/>
      <c r="AF51" s="28"/>
      <c r="AG51" s="28"/>
      <c r="AH51" s="17">
        <f t="shared" si="25"/>
        <v>0</v>
      </c>
    </row>
    <row r="52" spans="1:34" ht="13">
      <c r="A52" s="41" t="s">
        <v>110</v>
      </c>
      <c r="B52" s="42">
        <v>45485</v>
      </c>
      <c r="C52" s="44" t="s">
        <v>35</v>
      </c>
      <c r="D52" s="45" t="s">
        <v>121</v>
      </c>
      <c r="E52" s="46" t="s">
        <v>122</v>
      </c>
      <c r="F52" s="4">
        <v>77</v>
      </c>
      <c r="G52" s="15">
        <f t="shared" si="13"/>
        <v>3229</v>
      </c>
      <c r="H52" s="9">
        <f>ROUND(PRODUCT(G52/49),0)</f>
        <v>66</v>
      </c>
      <c r="I52">
        <f>ROUND(PRODUCT(G52/COUNT(F4:F52)),0)</f>
        <v>108</v>
      </c>
      <c r="J52" s="36">
        <v>0.15486111111111112</v>
      </c>
      <c r="K52" s="19">
        <f t="shared" si="14"/>
        <v>6.7604166666666652</v>
      </c>
      <c r="L52" s="40">
        <f t="shared" si="15"/>
        <v>20.7</v>
      </c>
      <c r="M52" s="33">
        <v>51.5</v>
      </c>
      <c r="N52" s="36">
        <v>0.16666666666666666</v>
      </c>
      <c r="O52" s="19">
        <f t="shared" si="16"/>
        <v>8.7777777777777786</v>
      </c>
      <c r="P52" s="40">
        <f t="shared" si="17"/>
        <v>19.3</v>
      </c>
      <c r="Q52" s="19">
        <f t="shared" si="18"/>
        <v>1.1805555555555541E-2</v>
      </c>
      <c r="R52" s="19">
        <f t="shared" si="19"/>
        <v>2.0173611111111116</v>
      </c>
      <c r="S52" s="27"/>
      <c r="T52" s="27"/>
      <c r="U52" s="16">
        <f t="shared" si="20"/>
        <v>0</v>
      </c>
      <c r="V52" s="27">
        <v>209</v>
      </c>
      <c r="W52" s="16">
        <f t="shared" si="21"/>
        <v>13566</v>
      </c>
      <c r="X52" s="9">
        <f t="shared" si="22"/>
        <v>209</v>
      </c>
      <c r="Y52" s="16">
        <f t="shared" si="23"/>
        <v>13566</v>
      </c>
      <c r="Z52" s="16">
        <f t="shared" si="24"/>
        <v>0</v>
      </c>
      <c r="AA52" s="27">
        <v>210</v>
      </c>
      <c r="AB52" s="27"/>
      <c r="AC52" s="28"/>
      <c r="AD52" s="27"/>
      <c r="AE52" s="28"/>
      <c r="AF52" s="28"/>
      <c r="AG52" s="28"/>
      <c r="AH52" s="17">
        <f t="shared" si="25"/>
        <v>0</v>
      </c>
    </row>
    <row r="53" spans="1:34" ht="13">
      <c r="A53" s="41" t="s">
        <v>111</v>
      </c>
      <c r="B53" s="42">
        <v>45486</v>
      </c>
      <c r="C53" s="44" t="s">
        <v>122</v>
      </c>
      <c r="D53" s="45" t="s">
        <v>126</v>
      </c>
      <c r="E53" s="46" t="s">
        <v>123</v>
      </c>
      <c r="F53" s="4">
        <v>207</v>
      </c>
      <c r="G53" s="15">
        <f t="shared" si="13"/>
        <v>3436</v>
      </c>
      <c r="H53" s="9">
        <f>ROUND(PRODUCT(G53/50),0)</f>
        <v>69</v>
      </c>
      <c r="I53">
        <f>ROUND(PRODUCT(G53/COUNT(F4:F53)),0)</f>
        <v>111</v>
      </c>
      <c r="J53" s="36">
        <v>0.42986111111111114</v>
      </c>
      <c r="K53" s="19">
        <f t="shared" si="14"/>
        <v>7.1902777777777764</v>
      </c>
      <c r="L53" s="40">
        <f t="shared" si="15"/>
        <v>20.100000000000001</v>
      </c>
      <c r="M53" s="33">
        <v>51.5</v>
      </c>
      <c r="N53" s="36">
        <v>0.51388888888888884</v>
      </c>
      <c r="O53" s="19">
        <f t="shared" si="16"/>
        <v>9.2916666666666679</v>
      </c>
      <c r="P53" s="40">
        <f t="shared" si="17"/>
        <v>16.8</v>
      </c>
      <c r="Q53" s="19">
        <f t="shared" si="18"/>
        <v>8.4027777777777701E-2</v>
      </c>
      <c r="R53" s="19">
        <f t="shared" si="19"/>
        <v>2.1013888888888892</v>
      </c>
      <c r="S53" s="27"/>
      <c r="T53" s="27"/>
      <c r="U53" s="16">
        <f t="shared" si="20"/>
        <v>0</v>
      </c>
      <c r="V53" s="27">
        <v>1570</v>
      </c>
      <c r="W53" s="16">
        <f t="shared" si="21"/>
        <v>15136</v>
      </c>
      <c r="X53" s="9">
        <f t="shared" si="22"/>
        <v>1570</v>
      </c>
      <c r="Y53" s="16">
        <f t="shared" si="23"/>
        <v>15136</v>
      </c>
      <c r="Z53" s="16">
        <f t="shared" si="24"/>
        <v>0</v>
      </c>
      <c r="AA53" s="27">
        <v>570</v>
      </c>
      <c r="AB53" s="27"/>
      <c r="AC53" s="28"/>
      <c r="AD53" s="27"/>
      <c r="AE53" s="28"/>
      <c r="AF53" s="28"/>
      <c r="AG53" s="28"/>
      <c r="AH53" s="17">
        <f t="shared" si="25"/>
        <v>0</v>
      </c>
    </row>
    <row r="54" spans="1:34" ht="13">
      <c r="A54" s="47" t="s">
        <v>112</v>
      </c>
      <c r="B54" s="42">
        <v>45487</v>
      </c>
      <c r="C54" s="44" t="s">
        <v>123</v>
      </c>
      <c r="D54" s="49" t="s">
        <v>124</v>
      </c>
      <c r="E54" s="46" t="s">
        <v>125</v>
      </c>
      <c r="F54" s="4">
        <v>183</v>
      </c>
      <c r="G54" s="15">
        <f t="shared" si="13"/>
        <v>3619</v>
      </c>
      <c r="H54" s="9">
        <f>ROUND(PRODUCT(G54/51),0)</f>
        <v>71</v>
      </c>
      <c r="I54">
        <f>ROUND(PRODUCT(G54/COUNT(F4:F54)),0)</f>
        <v>113</v>
      </c>
      <c r="J54" s="36">
        <v>0.39583333333333331</v>
      </c>
      <c r="K54" s="19">
        <f t="shared" si="14"/>
        <v>7.5861111111111095</v>
      </c>
      <c r="L54" s="40">
        <f t="shared" si="15"/>
        <v>19.3</v>
      </c>
      <c r="M54" s="33">
        <v>50</v>
      </c>
      <c r="N54" s="36">
        <v>0.4375</v>
      </c>
      <c r="O54" s="19">
        <f t="shared" si="16"/>
        <v>9.7291666666666679</v>
      </c>
      <c r="P54" s="40">
        <f t="shared" si="17"/>
        <v>17.399999999999999</v>
      </c>
      <c r="Q54" s="19">
        <f t="shared" si="18"/>
        <v>4.1666666666666685E-2</v>
      </c>
      <c r="R54" s="19">
        <f t="shared" si="19"/>
        <v>2.1430555555555557</v>
      </c>
      <c r="S54" s="27"/>
      <c r="T54" s="27"/>
      <c r="U54" s="16">
        <f t="shared" si="20"/>
        <v>0</v>
      </c>
      <c r="V54" s="27">
        <v>964</v>
      </c>
      <c r="W54" s="16">
        <f t="shared" si="21"/>
        <v>16100</v>
      </c>
      <c r="X54" s="9">
        <f t="shared" si="22"/>
        <v>964</v>
      </c>
      <c r="Y54" s="16">
        <f t="shared" si="23"/>
        <v>16100</v>
      </c>
      <c r="Z54" s="16">
        <f t="shared" si="24"/>
        <v>0</v>
      </c>
      <c r="AA54" s="27">
        <v>600</v>
      </c>
      <c r="AB54" s="27"/>
      <c r="AC54" s="28"/>
      <c r="AD54" s="27"/>
      <c r="AE54" s="28"/>
      <c r="AF54" s="28"/>
      <c r="AG54" s="28"/>
      <c r="AH54" s="17">
        <f t="shared" si="25"/>
        <v>0</v>
      </c>
    </row>
    <row r="55" spans="1:34" ht="13">
      <c r="A55" s="29" t="s">
        <v>5</v>
      </c>
      <c r="B55" s="62"/>
      <c r="C55" s="63"/>
      <c r="D55" s="63"/>
      <c r="E55" s="64"/>
      <c r="F55" s="30">
        <f>SUM(F4:F54)</f>
        <v>3619</v>
      </c>
      <c r="G55" s="20">
        <f>SUM(G54)</f>
        <v>3619</v>
      </c>
      <c r="H55" s="20">
        <f>SUM(H54)</f>
        <v>71</v>
      </c>
      <c r="I55" s="20">
        <f>SUM(I54)</f>
        <v>113</v>
      </c>
      <c r="J55" s="21">
        <f>SUM(J4:J54)</f>
        <v>7.5861111111111095</v>
      </c>
      <c r="K55" s="35">
        <f>F55/SUM(HOUR(J55)+(ROUNDDOWN(J55,0)*24),PRODUCT(MINUTE(J55)/60))</f>
        <v>19.877334309776639</v>
      </c>
      <c r="L55" s="39">
        <f>SUM(L4:L54)/COUNT(F4:F54)</f>
        <v>19.568750000000005</v>
      </c>
      <c r="M55" s="43">
        <f>PRODUCT(SUM(M4:M54),1/COUNT(M4:M54))</f>
        <v>44.731250000000003</v>
      </c>
      <c r="N55" s="21">
        <f>SUM(N4:N54)</f>
        <v>9.7291666666666679</v>
      </c>
      <c r="O55" s="35">
        <f>F55/SUM(HOUR(N55)+(ROUNDDOWN(N55,0)*24),PRODUCT(MINUTE(N55)/60))</f>
        <v>15.498929336188437</v>
      </c>
      <c r="P55" s="39">
        <f>SUM(P4:P54)/COUNT(F4:F54)</f>
        <v>15.40625</v>
      </c>
      <c r="Q55" s="21">
        <f>SUM(Q4:Q54)</f>
        <v>2.1430555555555557</v>
      </c>
      <c r="R55" s="20"/>
      <c r="S55" s="20" t="e">
        <f>ROUND(SUM(S4:S54)/COUNT(S4:S54),0)</f>
        <v>#DIV/0!</v>
      </c>
      <c r="T55" s="20" t="e">
        <f>ROUND(SUM(T4:T54)/COUNT(T4:T54),0)</f>
        <v>#DIV/0!</v>
      </c>
      <c r="U55" s="22">
        <f>SUM(U4:U54)</f>
        <v>0</v>
      </c>
      <c r="V55" s="20">
        <f>ROUND(SUM(V4:V54)/COUNT(V4:V54),0)</f>
        <v>503</v>
      </c>
      <c r="W55" s="20">
        <f>SUM(W54)</f>
        <v>16100</v>
      </c>
      <c r="X55" s="20">
        <f>ROUND(SUM(X4:X54)/COUNT(V4:V54),0)</f>
        <v>503</v>
      </c>
      <c r="Y55" s="20">
        <f>SUM(Y54)</f>
        <v>16100</v>
      </c>
      <c r="Z55" s="22">
        <f>SUM(Z4:Z54)</f>
        <v>0</v>
      </c>
      <c r="AA55" s="20">
        <f>ROUND(SUM(AA4:AA54)/COUNT(AA4:AA54),0)</f>
        <v>286</v>
      </c>
      <c r="AB55" s="34" t="e">
        <f t="shared" ref="AB55:AG55" si="26">SUM(AB4:AB54)/COUNT(AB4:AB54)</f>
        <v>#DIV/0!</v>
      </c>
      <c r="AC55" s="34" t="e">
        <f t="shared" si="26"/>
        <v>#DIV/0!</v>
      </c>
      <c r="AD55" s="34" t="e">
        <f t="shared" si="26"/>
        <v>#DIV/0!</v>
      </c>
      <c r="AE55" s="34" t="e">
        <f t="shared" si="26"/>
        <v>#DIV/0!</v>
      </c>
      <c r="AF55" s="34" t="e">
        <f t="shared" si="26"/>
        <v>#DIV/0!</v>
      </c>
      <c r="AG55" s="34" t="e">
        <f t="shared" si="26"/>
        <v>#DIV/0!</v>
      </c>
      <c r="AH55" s="34" t="e">
        <f>SUM(AH4:AH54)/COUNT(AG4:AG54)</f>
        <v>#DIV/0!</v>
      </c>
    </row>
    <row r="56" spans="1:34" ht="13">
      <c r="Q56" s="9"/>
      <c r="R56" s="9"/>
      <c r="S56" s="9"/>
      <c r="W56" s="16"/>
      <c r="Y56" s="16"/>
    </row>
    <row r="57" spans="1:34" ht="13">
      <c r="O57" s="9"/>
      <c r="P57" s="9"/>
      <c r="Q57" s="9"/>
      <c r="R57" s="31"/>
      <c r="S57" s="9"/>
      <c r="T57" s="9"/>
      <c r="U57" s="9"/>
      <c r="V57" s="9"/>
      <c r="W57" s="16"/>
      <c r="X57" s="9"/>
      <c r="Y57" s="16"/>
      <c r="Z57" s="9"/>
      <c r="AA57" s="9"/>
    </row>
    <row r="58" spans="1:34" ht="13">
      <c r="N58" s="38"/>
      <c r="O58" s="9"/>
      <c r="P58" s="9"/>
      <c r="Q58" s="37"/>
      <c r="R58" s="37"/>
      <c r="S58" s="9"/>
      <c r="T58" s="9"/>
      <c r="U58" s="9"/>
      <c r="V58" s="9"/>
      <c r="W58" s="9"/>
      <c r="X58" s="9"/>
      <c r="Y58" s="9"/>
      <c r="Z58" s="9"/>
      <c r="AA58" s="9"/>
    </row>
    <row r="59" spans="1:34" ht="13">
      <c r="O59" s="9"/>
      <c r="P59" s="9"/>
      <c r="Q59" s="37"/>
      <c r="R59" s="37"/>
      <c r="S59" s="9"/>
      <c r="T59" s="9"/>
      <c r="U59" s="9"/>
      <c r="V59" s="9"/>
      <c r="W59" s="9"/>
      <c r="X59" s="9"/>
      <c r="Y59" s="9"/>
      <c r="Z59" s="9"/>
      <c r="AA59" s="9"/>
    </row>
    <row r="60" spans="1:34" ht="13">
      <c r="O60" s="9"/>
      <c r="P60" s="9"/>
      <c r="Q60" s="9"/>
      <c r="R60" s="37"/>
      <c r="S60" s="9"/>
      <c r="T60" s="9"/>
      <c r="U60" s="9"/>
      <c r="V60" s="9"/>
      <c r="W60" s="9"/>
      <c r="X60" s="9"/>
      <c r="Y60" s="9"/>
      <c r="Z60" s="9"/>
      <c r="AA60" s="9"/>
    </row>
    <row r="61" spans="1:34"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</sheetData>
  <mergeCells count="4">
    <mergeCell ref="A1:F1"/>
    <mergeCell ref="A2:F2"/>
    <mergeCell ref="G1:AH1"/>
    <mergeCell ref="B55:E5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E8E1-9822-424D-A36E-7D3BA67A412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77D3-8C0D-40A3-8B85-D1DCE97BFAB5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2025-11-12T19:54:23Z</dcterms:modified>
</cp:coreProperties>
</file>