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40D6E643-73A5-4DF6-8B3B-2624F23CCA85}" xr6:coauthVersionLast="47" xr6:coauthVersionMax="47" xr10:uidLastSave="{00000000-0000-0000-0000-000000000000}"/>
  <bookViews>
    <workbookView xWindow="-110" yWindow="-110" windowWidth="19420" windowHeight="10420" xr2:uid="{1B2E5050-9BEB-46BC-9C06-07F9645028E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G4" i="1"/>
  <c r="H4" i="1"/>
  <c r="K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X4" i="1"/>
  <c r="Y4" i="1"/>
  <c r="AH4" i="1"/>
  <c r="AH4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5" i="1"/>
  <c r="P5" i="1"/>
  <c r="Q5" i="1"/>
  <c r="U5" i="1"/>
  <c r="X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AH13" i="1"/>
  <c r="L14" i="1"/>
  <c r="P14" i="1"/>
  <c r="Q14" i="1"/>
  <c r="U14" i="1"/>
  <c r="X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L30" i="1"/>
  <c r="P30" i="1"/>
  <c r="Q30" i="1"/>
  <c r="U30" i="1"/>
  <c r="X30" i="1"/>
  <c r="Z30" i="1"/>
  <c r="AH30" i="1"/>
  <c r="L31" i="1"/>
  <c r="P31" i="1"/>
  <c r="Q31" i="1"/>
  <c r="U31" i="1"/>
  <c r="X31" i="1"/>
  <c r="Z31" i="1"/>
  <c r="AH31" i="1"/>
  <c r="L32" i="1"/>
  <c r="P32" i="1"/>
  <c r="Q32" i="1"/>
  <c r="U32" i="1"/>
  <c r="X32" i="1"/>
  <c r="Z32" i="1"/>
  <c r="AH32" i="1"/>
  <c r="L33" i="1"/>
  <c r="P33" i="1"/>
  <c r="Q33" i="1"/>
  <c r="U33" i="1"/>
  <c r="X33" i="1"/>
  <c r="Z33" i="1"/>
  <c r="AH33" i="1"/>
  <c r="L34" i="1"/>
  <c r="P34" i="1"/>
  <c r="Q34" i="1"/>
  <c r="U34" i="1"/>
  <c r="X34" i="1"/>
  <c r="AH34" i="1"/>
  <c r="L35" i="1"/>
  <c r="P35" i="1"/>
  <c r="Q35" i="1"/>
  <c r="U35" i="1"/>
  <c r="X35" i="1"/>
  <c r="Z35" i="1"/>
  <c r="AH35" i="1"/>
  <c r="L36" i="1"/>
  <c r="P36" i="1"/>
  <c r="Q36" i="1"/>
  <c r="U36" i="1"/>
  <c r="X36" i="1"/>
  <c r="Z36" i="1"/>
  <c r="AH36" i="1"/>
  <c r="L37" i="1"/>
  <c r="P37" i="1"/>
  <c r="Q37" i="1"/>
  <c r="U37" i="1"/>
  <c r="X37" i="1"/>
  <c r="Z37" i="1"/>
  <c r="AH37" i="1"/>
  <c r="L38" i="1"/>
  <c r="P38" i="1"/>
  <c r="Q38" i="1"/>
  <c r="U38" i="1"/>
  <c r="X38" i="1"/>
  <c r="Z38" i="1"/>
  <c r="AH38" i="1"/>
  <c r="L39" i="1"/>
  <c r="P39" i="1"/>
  <c r="Q39" i="1"/>
  <c r="U39" i="1"/>
  <c r="X39" i="1"/>
  <c r="Z39" i="1"/>
  <c r="AH39" i="1"/>
  <c r="L40" i="1"/>
  <c r="P40" i="1"/>
  <c r="Q40" i="1"/>
  <c r="U40" i="1"/>
  <c r="X40" i="1"/>
  <c r="AH40" i="1"/>
  <c r="F41" i="1"/>
  <c r="J41" i="1"/>
  <c r="K41" i="1"/>
  <c r="M41" i="1"/>
  <c r="N41" i="1"/>
  <c r="O41" i="1"/>
  <c r="S41" i="1"/>
  <c r="T41" i="1"/>
  <c r="V41" i="1"/>
  <c r="AA41" i="1"/>
  <c r="AB41" i="1"/>
  <c r="AC41" i="1"/>
  <c r="AD41" i="1"/>
  <c r="AE41" i="1"/>
  <c r="AF41" i="1"/>
  <c r="AG41" i="1"/>
  <c r="G5" i="1"/>
  <c r="G6" i="1"/>
  <c r="I4" i="1"/>
  <c r="H5" i="1"/>
  <c r="I5" i="1"/>
  <c r="I6" i="1"/>
  <c r="G7" i="1"/>
  <c r="H6" i="1"/>
  <c r="H7" i="1"/>
  <c r="I7" i="1"/>
  <c r="G8" i="1"/>
  <c r="G9" i="1"/>
  <c r="I8" i="1"/>
  <c r="H8" i="1"/>
  <c r="G10" i="1"/>
  <c r="H9" i="1"/>
  <c r="I9" i="1"/>
  <c r="G11" i="1"/>
  <c r="H10" i="1"/>
  <c r="I10" i="1"/>
  <c r="G12" i="1"/>
  <c r="H11" i="1"/>
  <c r="I11" i="1"/>
  <c r="G13" i="1"/>
  <c r="I12" i="1"/>
  <c r="H12" i="1"/>
  <c r="H13" i="1"/>
  <c r="I13" i="1"/>
  <c r="G14" i="1"/>
  <c r="I14" i="1"/>
  <c r="H14" i="1"/>
  <c r="G15" i="1"/>
  <c r="I15" i="1"/>
  <c r="G16" i="1"/>
  <c r="H15" i="1"/>
  <c r="I16" i="1"/>
  <c r="G17" i="1"/>
  <c r="H16" i="1"/>
  <c r="G18" i="1"/>
  <c r="I17" i="1"/>
  <c r="H17" i="1"/>
  <c r="H18" i="1"/>
  <c r="I18" i="1"/>
  <c r="G19" i="1"/>
  <c r="H19" i="1"/>
  <c r="I19" i="1"/>
  <c r="G20" i="1"/>
  <c r="G21" i="1"/>
  <c r="I20" i="1"/>
  <c r="H20" i="1"/>
  <c r="I21" i="1"/>
  <c r="H21" i="1"/>
  <c r="G22" i="1"/>
  <c r="H22" i="1"/>
  <c r="G23" i="1"/>
  <c r="I22" i="1"/>
  <c r="I23" i="1"/>
  <c r="H23" i="1"/>
  <c r="G24" i="1"/>
  <c r="I24" i="1"/>
  <c r="G25" i="1"/>
  <c r="H24" i="1"/>
  <c r="G26" i="1"/>
  <c r="H25" i="1"/>
  <c r="I25" i="1"/>
  <c r="H26" i="1"/>
  <c r="G27" i="1"/>
  <c r="I26" i="1"/>
  <c r="G28" i="1"/>
  <c r="H27" i="1"/>
  <c r="I27" i="1"/>
  <c r="H28" i="1"/>
  <c r="G29" i="1"/>
  <c r="I28" i="1"/>
  <c r="H29" i="1"/>
  <c r="I29" i="1"/>
  <c r="G30" i="1"/>
  <c r="H30" i="1"/>
  <c r="G31" i="1"/>
  <c r="I30" i="1"/>
  <c r="G32" i="1"/>
  <c r="H31" i="1"/>
  <c r="I31" i="1"/>
  <c r="H32" i="1"/>
  <c r="G33" i="1"/>
  <c r="I32" i="1"/>
  <c r="G34" i="1"/>
  <c r="H33" i="1"/>
  <c r="I33" i="1"/>
  <c r="H34" i="1"/>
  <c r="I34" i="1"/>
  <c r="G35" i="1"/>
  <c r="I35" i="1"/>
  <c r="H35" i="1"/>
  <c r="G36" i="1"/>
  <c r="G37" i="1"/>
  <c r="I36" i="1"/>
  <c r="H36" i="1"/>
  <c r="G38" i="1"/>
  <c r="I37" i="1"/>
  <c r="H37" i="1"/>
  <c r="G39" i="1"/>
  <c r="I38" i="1"/>
  <c r="H38" i="1"/>
  <c r="I39" i="1"/>
  <c r="H39" i="1"/>
  <c r="G40" i="1"/>
  <c r="I40" i="1"/>
  <c r="H40" i="1"/>
  <c r="P41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Q41" i="1"/>
  <c r="L41" i="1"/>
  <c r="Z34" i="1"/>
  <c r="Z40" i="1"/>
  <c r="Z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Z5" i="1"/>
  <c r="Z7" i="1"/>
  <c r="Z13" i="1"/>
  <c r="Z14" i="1"/>
  <c r="U41" i="1"/>
  <c r="X41" i="1"/>
  <c r="Z41" i="1"/>
</calcChain>
</file>

<file path=xl/sharedStrings.xml><?xml version="1.0" encoding="utf-8"?>
<sst xmlns="http://schemas.openxmlformats.org/spreadsheetml/2006/main" count="166" uniqueCount="130">
  <si>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</si>
  <si>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</si>
  <si>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</si>
  <si>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</si>
  <si>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</si>
  <si>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</si>
  <si>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</si>
  <si>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</si>
  <si>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</si>
  <si>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</si>
  <si>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</si>
  <si>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</si>
  <si>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</si>
  <si>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</si>
  <si>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</si>
  <si>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</si>
  <si>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</si>
  <si>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</si>
  <si>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</si>
  <si>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</si>
  <si>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</si>
  <si>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</si>
  <si>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</si>
  <si>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</si>
  <si>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</si>
  <si>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</si>
  <si>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</si>
  <si>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</si>
  <si>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</si>
  <si>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</si>
  <si>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</si>
  <si>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</si>
  <si>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</si>
  <si>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</si>
  <si>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</si>
  <si>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</si>
  <si>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</si>
  <si>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</si>
  <si>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</si>
  <si>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</si>
  <si>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</si>
  <si>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</si>
  <si>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</si>
  <si>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</si>
  <si>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</si>
  <si>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</si>
  <si>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</si>
  <si>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</si>
  <si>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</si>
  <si>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</si>
  <si>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</si>
  <si>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</si>
  <si>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</si>
  <si>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</si>
  <si>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</si>
  <si>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</si>
  <si>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</si>
  <si>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</si>
  <si>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</si>
  <si>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</si>
  <si>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</si>
  <si>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</si>
  <si>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</si>
  <si>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1.</t>
  </si>
  <si>
    <t>Espargos</t>
  </si>
  <si>
    <t>Salinas de Pedra de Lume - Espargos - Buracona - Blue Eye Cave</t>
  </si>
  <si>
    <t>2.</t>
  </si>
  <si>
    <t>Diass</t>
  </si>
  <si>
    <t>Bargny - Sendou</t>
  </si>
  <si>
    <t>3.</t>
  </si>
  <si>
    <t>Toubab Dialao</t>
  </si>
  <si>
    <t>4.</t>
  </si>
  <si>
    <t>Fatick</t>
  </si>
  <si>
    <t>5.</t>
  </si>
  <si>
    <t>Foundiougne</t>
  </si>
  <si>
    <t>Toubacouta</t>
  </si>
  <si>
    <t>6.</t>
  </si>
  <si>
    <t>7.</t>
  </si>
  <si>
    <t>8.</t>
  </si>
  <si>
    <t>Ziguinchor</t>
  </si>
  <si>
    <t>9.</t>
  </si>
  <si>
    <t>Bula</t>
  </si>
  <si>
    <t>Bissau</t>
  </si>
  <si>
    <t>Canjabel</t>
  </si>
  <si>
    <t>Fulacunda</t>
  </si>
  <si>
    <t>Buba</t>
  </si>
  <si>
    <t>Boké</t>
  </si>
  <si>
    <t>Boffa</t>
  </si>
  <si>
    <t>Conyah - Pamélap - Grenze Guinea/Sierra Leone</t>
  </si>
  <si>
    <t>Kambia</t>
  </si>
  <si>
    <t>Port Loko</t>
  </si>
  <si>
    <t>Yonibana</t>
  </si>
  <si>
    <t>Bo (S.L.)</t>
  </si>
  <si>
    <t>Potoru</t>
  </si>
  <si>
    <t>Potoru - Grenze Sierra Leone/Liberia</t>
  </si>
  <si>
    <t>Bo (Lib.)</t>
  </si>
  <si>
    <t>Monrovia</t>
  </si>
  <si>
    <t>Kakata</t>
  </si>
  <si>
    <t>Totota</t>
  </si>
  <si>
    <t>Gbarnga</t>
  </si>
  <si>
    <t>Suakoko</t>
  </si>
  <si>
    <t>Gampo/Ganta</t>
  </si>
  <si>
    <t>Sanniquellie</t>
  </si>
  <si>
    <t>Grenze Liberia/Elfenbeinküste</t>
  </si>
  <si>
    <t>Danané</t>
  </si>
  <si>
    <t xml:space="preserve">Duékoué </t>
  </si>
  <si>
    <t>Duékoué</t>
  </si>
  <si>
    <t>Daloa</t>
  </si>
  <si>
    <t>Bouaflé</t>
  </si>
  <si>
    <t>Yamoussoukro</t>
  </si>
  <si>
    <t>Pacobo</t>
  </si>
  <si>
    <t>Sikensi</t>
  </si>
  <si>
    <t>Dabou</t>
  </si>
  <si>
    <t>Sassako-Bégniny</t>
  </si>
  <si>
    <t>Abidjan</t>
  </si>
  <si>
    <r>
      <t xml:space="preserve">Suakoko - </t>
    </r>
    <r>
      <rPr>
        <i/>
        <sz val="10"/>
        <rFont val="Arial"/>
        <family val="2"/>
      </rPr>
      <t>18 km Mototaxi</t>
    </r>
  </si>
  <si>
    <t>Man</t>
  </si>
  <si>
    <t>Kapveden; Dakar - Abidjan (13.12.2024-18.1.2025)</t>
  </si>
  <si>
    <r>
      <t>Statistik</t>
    </r>
    <r>
      <rPr>
        <b/>
        <sz val="20"/>
        <rFont val="Arial"/>
        <family val="2"/>
      </rPr>
      <t xml:space="preserve"> Kapveden; Dakar - Abidjan (13.12.2024-18.1.2025)</t>
    </r>
  </si>
  <si>
    <t>Grenze Senegal/Guinea-Bissau - São Domingos - Ignoré</t>
  </si>
  <si>
    <r>
      <t xml:space="preserve">Grenze Senegal/Gambia - Barra - 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Banjul - Jambanjelly</t>
    </r>
  </si>
  <si>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Enxude - Nova Sintra</t>
    </r>
  </si>
  <si>
    <t>M'bour</t>
  </si>
  <si>
    <t>Brikama - Grenze Gambia/Senegal</t>
  </si>
  <si>
    <r>
      <t xml:space="preserve">Grenze Guinea-Bissau/Guinea - Kandiafara - </t>
    </r>
    <r>
      <rPr>
        <i/>
        <sz val="10"/>
        <rFont val="Arial"/>
        <family val="2"/>
      </rPr>
      <t>Fähre Rio Kogon</t>
    </r>
  </si>
  <si>
    <r>
      <t xml:space="preserve">Lunsar - </t>
    </r>
    <r>
      <rPr>
        <i/>
        <sz val="10"/>
        <rFont val="Arial"/>
        <family val="2"/>
      </rPr>
      <t>Fähre Rokel River</t>
    </r>
  </si>
  <si>
    <t>Kambama</t>
  </si>
  <si>
    <t>N'Douci</t>
  </si>
  <si>
    <t>Sanyang</t>
  </si>
  <si>
    <t>Conakry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</si>
</sst>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77" fontId="4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0F51-4CF9-4BFC-BE2F-1329E5D37FC2}">
  <sheetPr codeName="Tabelle1"/>
  <dimension ref="A1:AH47"/>
  <sheetViews>
    <sheetView tabSelected="1" topLeftCell="A4" zoomScaleNormal="100" workbookViewId="0">
      <selection activeCell="C11" sqref="C1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90625" customWidth="1"/>
    <col min="11" max="11" width="7.45312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5.6328125" customWidth="1"/>
    <col min="28" max="28" width="2.81640625" customWidth="1"/>
    <col min="29" max="29" width="3.54296875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49" t="s">
        <v>117</v>
      </c>
      <c r="B1" s="50"/>
      <c r="C1" s="50"/>
      <c r="D1" s="50"/>
      <c r="E1" s="50"/>
      <c r="F1" s="51"/>
      <c r="G1" s="53" t="s">
        <v>118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44</v>
      </c>
      <c r="M3" s="22" t="s">
        <v>25</v>
      </c>
      <c r="N3" s="22" t="s">
        <v>14</v>
      </c>
      <c r="O3" s="23" t="s">
        <v>33</v>
      </c>
      <c r="P3" s="22" t="s">
        <v>43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3" t="s">
        <v>63</v>
      </c>
      <c r="B4" s="44">
        <v>45639</v>
      </c>
      <c r="C4" s="45" t="s">
        <v>64</v>
      </c>
      <c r="D4" s="43" t="s">
        <v>65</v>
      </c>
      <c r="E4" s="46" t="s">
        <v>64</v>
      </c>
      <c r="F4" s="43">
        <v>39</v>
      </c>
      <c r="G4" s="10">
        <f>SUM(F4)</f>
        <v>39</v>
      </c>
      <c r="H4" s="11">
        <f>ROUND(PRODUCT(G4/1),0)</f>
        <v>39</v>
      </c>
      <c r="I4" s="11">
        <f>ROUND(PRODUCT(G4/COUNT(F4:F4)),0)</f>
        <v>39</v>
      </c>
      <c r="J4" s="35">
        <v>0.125</v>
      </c>
      <c r="K4" s="17">
        <f>SUM(J4)</f>
        <v>0.125</v>
      </c>
      <c r="L4" s="40">
        <f t="shared" ref="L4:L31" si="0">IF(F4=0,0,ROUND(PRODUCT(F4/SUM(HOUR(J4),PRODUCT(MINUTE(J4)/60))),1))</f>
        <v>13</v>
      </c>
      <c r="M4" s="30">
        <v>44.6</v>
      </c>
      <c r="N4" s="35">
        <v>0.27430555555555558</v>
      </c>
      <c r="O4" s="17">
        <f>SUM(N4)</f>
        <v>0.27430555555555558</v>
      </c>
      <c r="P4" s="40">
        <f t="shared" ref="P4:P31" si="1">IF(F4=0,0,ROUND(PRODUCT(F4/SUM(HOUR(N4),PRODUCT(MINUTE(N4)/60))),1))</f>
        <v>5.9</v>
      </c>
      <c r="Q4" s="17">
        <f t="shared" ref="Q4:Q31" si="2">SUM(N4,-J4)</f>
        <v>0.14930555555555558</v>
      </c>
      <c r="R4" s="17">
        <f>SUM(Q4)</f>
        <v>0.14930555555555558</v>
      </c>
      <c r="S4" s="11">
        <v>53</v>
      </c>
      <c r="T4" s="8">
        <v>53</v>
      </c>
      <c r="U4" s="12">
        <f>SUM(-S4,T4)</f>
        <v>0</v>
      </c>
      <c r="V4" s="11">
        <v>260</v>
      </c>
      <c r="W4" s="12">
        <f>SUM(V4)</f>
        <v>260</v>
      </c>
      <c r="X4" s="11">
        <f t="shared" ref="X4:X31" si="3">SUM(S4,-T4,V4)</f>
        <v>260</v>
      </c>
      <c r="Y4" s="12">
        <f>SUM(X4)</f>
        <v>260</v>
      </c>
      <c r="Z4" s="12">
        <f t="shared" ref="Z4:Z31" si="4">SUM(V4,-X4)</f>
        <v>0</v>
      </c>
      <c r="AA4" s="11">
        <v>35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3" t="s">
        <v>66</v>
      </c>
      <c r="B5" s="44">
        <v>45640</v>
      </c>
      <c r="C5" s="45" t="s">
        <v>67</v>
      </c>
      <c r="D5" s="43" t="s">
        <v>68</v>
      </c>
      <c r="E5" s="46" t="s">
        <v>70</v>
      </c>
      <c r="F5" s="43">
        <v>37</v>
      </c>
      <c r="G5" s="14">
        <f>SUM(G4,F5)</f>
        <v>76</v>
      </c>
      <c r="H5" s="8">
        <f>ROUND(PRODUCT(G5/2),0)</f>
        <v>38</v>
      </c>
      <c r="I5" s="8">
        <f>ROUND(PRODUCT(G5/COUNT(F4:F5)),0)</f>
        <v>38</v>
      </c>
      <c r="J5" s="36">
        <v>0.11458333333333333</v>
      </c>
      <c r="K5" s="18">
        <f t="shared" ref="K5:K31" si="5">SUM(J5,K4)</f>
        <v>0.23958333333333331</v>
      </c>
      <c r="L5" s="40">
        <f t="shared" si="0"/>
        <v>13.5</v>
      </c>
      <c r="M5" s="31">
        <v>23</v>
      </c>
      <c r="N5" s="36">
        <v>0.29166666666666669</v>
      </c>
      <c r="O5" s="18">
        <f t="shared" ref="O5:O31" si="6">SUM(N5,O4)</f>
        <v>0.56597222222222232</v>
      </c>
      <c r="P5" s="40">
        <f t="shared" si="1"/>
        <v>5.3</v>
      </c>
      <c r="Q5" s="18">
        <f t="shared" si="2"/>
        <v>0.17708333333333337</v>
      </c>
      <c r="R5" s="18">
        <f>SUM(Q5,R4)</f>
        <v>0.32638888888888895</v>
      </c>
      <c r="S5" s="8">
        <v>10</v>
      </c>
      <c r="T5" s="8">
        <v>16</v>
      </c>
      <c r="U5" s="15">
        <f>SUM(-S5,T5)</f>
        <v>6</v>
      </c>
      <c r="V5" s="26">
        <v>50</v>
      </c>
      <c r="W5" s="15">
        <f t="shared" ref="W5:W31" si="7">SUM(W4,V5)</f>
        <v>310</v>
      </c>
      <c r="X5" s="8">
        <f t="shared" si="3"/>
        <v>44</v>
      </c>
      <c r="Y5" s="15">
        <f>SUM(Y4,X5)</f>
        <v>304</v>
      </c>
      <c r="Z5" s="15">
        <f t="shared" si="4"/>
        <v>6</v>
      </c>
      <c r="AA5" s="8">
        <v>40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3" t="s">
        <v>69</v>
      </c>
      <c r="B6" s="44">
        <v>45641</v>
      </c>
      <c r="C6" s="45"/>
      <c r="D6" s="43" t="s">
        <v>70</v>
      </c>
      <c r="E6" s="46"/>
      <c r="F6" s="43"/>
      <c r="G6" s="14">
        <f t="shared" ref="G6:G31" si="8">SUM(G5,F6)</f>
        <v>76</v>
      </c>
      <c r="H6" s="8">
        <f>ROUND(PRODUCT(G6/3),0)</f>
        <v>25</v>
      </c>
      <c r="I6" s="8">
        <f>ROUND(PRODUCT(G6/COUNT(F4:F6)),0)</f>
        <v>38</v>
      </c>
      <c r="J6" s="36"/>
      <c r="K6" s="18">
        <f t="shared" si="5"/>
        <v>0.23958333333333331</v>
      </c>
      <c r="L6" s="40">
        <f t="shared" si="0"/>
        <v>0</v>
      </c>
      <c r="M6" s="31"/>
      <c r="N6" s="36"/>
      <c r="O6" s="18">
        <f t="shared" si="6"/>
        <v>0.56597222222222232</v>
      </c>
      <c r="P6" s="40">
        <f t="shared" si="1"/>
        <v>0</v>
      </c>
      <c r="Q6" s="18">
        <f t="shared" si="2"/>
        <v>0</v>
      </c>
      <c r="R6" s="18">
        <f t="shared" ref="R6:R31" si="9">SUM(Q6,R5)</f>
        <v>0.32638888888888895</v>
      </c>
      <c r="S6" s="8"/>
      <c r="T6" s="26"/>
      <c r="U6" s="15">
        <f t="shared" ref="U6:U31" si="10">SUM(-S6,T6)</f>
        <v>0</v>
      </c>
      <c r="V6" s="26"/>
      <c r="W6" s="15">
        <f t="shared" si="7"/>
        <v>310</v>
      </c>
      <c r="X6" s="8">
        <f t="shared" si="3"/>
        <v>0</v>
      </c>
      <c r="Y6" s="15">
        <f t="shared" ref="Y6:Y31" si="11">SUM(Y5,X6)</f>
        <v>304</v>
      </c>
      <c r="Z6" s="15">
        <f t="shared" si="4"/>
        <v>0</v>
      </c>
      <c r="AA6" s="8"/>
      <c r="AB6" s="8"/>
      <c r="AC6" s="27"/>
      <c r="AD6" s="26"/>
      <c r="AE6" s="27"/>
      <c r="AF6" s="27"/>
      <c r="AG6" s="27"/>
      <c r="AH6" s="16">
        <f t="shared" ref="AH6:AH31" si="12">SUM(AG6,-AF6)</f>
        <v>0</v>
      </c>
    </row>
    <row r="7" spans="1:34" ht="13">
      <c r="A7" s="43" t="s">
        <v>71</v>
      </c>
      <c r="B7" s="44">
        <v>45642</v>
      </c>
      <c r="C7" s="45" t="s">
        <v>70</v>
      </c>
      <c r="D7" s="43" t="s">
        <v>122</v>
      </c>
      <c r="E7" s="46" t="s">
        <v>72</v>
      </c>
      <c r="F7" s="43">
        <v>104</v>
      </c>
      <c r="G7" s="14">
        <f t="shared" si="8"/>
        <v>180</v>
      </c>
      <c r="H7" s="8">
        <f>ROUND(PRODUCT(G7/4),0)</f>
        <v>45</v>
      </c>
      <c r="I7" s="8">
        <f>ROUND(PRODUCT(G7/COUNT(F4:F7)),0)</f>
        <v>60</v>
      </c>
      <c r="J7" s="36">
        <v>0.26180555555555557</v>
      </c>
      <c r="K7" s="18">
        <f t="shared" si="5"/>
        <v>0.50138888888888888</v>
      </c>
      <c r="L7" s="40">
        <f t="shared" si="0"/>
        <v>16.600000000000001</v>
      </c>
      <c r="M7" s="32">
        <v>45</v>
      </c>
      <c r="N7" s="36">
        <v>0.35416666666666669</v>
      </c>
      <c r="O7" s="18">
        <f t="shared" si="6"/>
        <v>0.92013888888888906</v>
      </c>
      <c r="P7" s="40">
        <f t="shared" si="1"/>
        <v>12.2</v>
      </c>
      <c r="Q7" s="18">
        <f t="shared" si="2"/>
        <v>9.2361111111111116E-2</v>
      </c>
      <c r="R7" s="18">
        <f t="shared" si="9"/>
        <v>0.41875000000000007</v>
      </c>
      <c r="S7" s="26">
        <v>16</v>
      </c>
      <c r="T7" s="26">
        <v>10</v>
      </c>
      <c r="U7" s="15">
        <f t="shared" si="10"/>
        <v>-6</v>
      </c>
      <c r="V7" s="26">
        <v>640</v>
      </c>
      <c r="W7" s="15">
        <f t="shared" si="7"/>
        <v>950</v>
      </c>
      <c r="X7" s="8">
        <f t="shared" si="3"/>
        <v>646</v>
      </c>
      <c r="Y7" s="15">
        <f t="shared" si="11"/>
        <v>950</v>
      </c>
      <c r="Z7" s="15">
        <f t="shared" si="4"/>
        <v>-6</v>
      </c>
      <c r="AA7" s="26">
        <v>45</v>
      </c>
      <c r="AB7" s="26"/>
      <c r="AC7" s="27"/>
      <c r="AD7" s="26"/>
      <c r="AE7" s="27"/>
      <c r="AF7" s="27"/>
      <c r="AG7" s="27"/>
      <c r="AH7" s="16">
        <f t="shared" si="12"/>
        <v>0</v>
      </c>
    </row>
    <row r="8" spans="1:34" ht="13">
      <c r="A8" s="43" t="s">
        <v>73</v>
      </c>
      <c r="B8" s="44">
        <v>45643</v>
      </c>
      <c r="C8" s="45" t="s">
        <v>72</v>
      </c>
      <c r="D8" s="43" t="s">
        <v>74</v>
      </c>
      <c r="E8" s="46" t="s">
        <v>75</v>
      </c>
      <c r="F8" s="43">
        <v>95</v>
      </c>
      <c r="G8" s="14">
        <f t="shared" si="8"/>
        <v>275</v>
      </c>
      <c r="H8" s="8">
        <f>ROUND(PRODUCT(G8/5),0)</f>
        <v>55</v>
      </c>
      <c r="I8" s="8">
        <f>ROUND(PRODUCT(G8/COUNT(F4:F8)),0)</f>
        <v>69</v>
      </c>
      <c r="J8" s="36">
        <v>0.20833333333333334</v>
      </c>
      <c r="K8" s="18">
        <f t="shared" si="5"/>
        <v>0.70972222222222225</v>
      </c>
      <c r="L8" s="40">
        <f t="shared" si="0"/>
        <v>19</v>
      </c>
      <c r="M8" s="32">
        <v>35</v>
      </c>
      <c r="N8" s="36">
        <v>0.3125</v>
      </c>
      <c r="O8" s="18">
        <f t="shared" si="6"/>
        <v>1.2326388888888891</v>
      </c>
      <c r="P8" s="40">
        <f t="shared" si="1"/>
        <v>12.7</v>
      </c>
      <c r="Q8" s="18">
        <f t="shared" si="2"/>
        <v>0.10416666666666666</v>
      </c>
      <c r="R8" s="18">
        <f t="shared" si="9"/>
        <v>0.5229166666666667</v>
      </c>
      <c r="S8" s="26">
        <v>10</v>
      </c>
      <c r="T8" s="26">
        <v>17</v>
      </c>
      <c r="U8" s="15">
        <f t="shared" si="10"/>
        <v>7</v>
      </c>
      <c r="V8" s="26">
        <v>437</v>
      </c>
      <c r="W8" s="15">
        <f t="shared" si="7"/>
        <v>1387</v>
      </c>
      <c r="X8" s="8">
        <f t="shared" si="3"/>
        <v>430</v>
      </c>
      <c r="Y8" s="15">
        <f t="shared" si="11"/>
        <v>1380</v>
      </c>
      <c r="Z8" s="15">
        <f t="shared" si="4"/>
        <v>7</v>
      </c>
      <c r="AA8" s="26">
        <v>35</v>
      </c>
      <c r="AB8" s="26"/>
      <c r="AC8" s="27"/>
      <c r="AD8" s="26"/>
      <c r="AE8" s="27"/>
      <c r="AF8" s="27"/>
      <c r="AG8" s="27"/>
      <c r="AH8" s="16">
        <f t="shared" si="12"/>
        <v>0</v>
      </c>
    </row>
    <row r="9" spans="1:34" ht="13">
      <c r="A9" s="43" t="s">
        <v>76</v>
      </c>
      <c r="B9" s="44">
        <v>45644</v>
      </c>
      <c r="C9" s="45"/>
      <c r="D9" s="43" t="s">
        <v>75</v>
      </c>
      <c r="E9" s="46"/>
      <c r="F9" s="43"/>
      <c r="G9" s="14">
        <f t="shared" si="8"/>
        <v>275</v>
      </c>
      <c r="H9" s="8">
        <f>ROUND(PRODUCT(G9/6),0)</f>
        <v>46</v>
      </c>
      <c r="I9" s="8">
        <f>ROUND(PRODUCT(G9/COUNT(F4:F9)),0)</f>
        <v>69</v>
      </c>
      <c r="J9" s="36"/>
      <c r="K9" s="18">
        <f t="shared" si="5"/>
        <v>0.70972222222222225</v>
      </c>
      <c r="L9" s="40">
        <f t="shared" si="0"/>
        <v>0</v>
      </c>
      <c r="M9" s="32"/>
      <c r="N9" s="36"/>
      <c r="O9" s="18">
        <f t="shared" si="6"/>
        <v>1.2326388888888891</v>
      </c>
      <c r="P9" s="40">
        <f t="shared" si="1"/>
        <v>0</v>
      </c>
      <c r="Q9" s="18">
        <f t="shared" si="2"/>
        <v>0</v>
      </c>
      <c r="R9" s="18">
        <f t="shared" si="9"/>
        <v>0.5229166666666667</v>
      </c>
      <c r="S9" s="26"/>
      <c r="T9" s="26"/>
      <c r="U9" s="15">
        <f t="shared" si="10"/>
        <v>0</v>
      </c>
      <c r="V9" s="26"/>
      <c r="W9" s="15">
        <f t="shared" si="7"/>
        <v>1387</v>
      </c>
      <c r="X9" s="8">
        <f t="shared" si="3"/>
        <v>0</v>
      </c>
      <c r="Y9" s="15">
        <f t="shared" si="11"/>
        <v>1380</v>
      </c>
      <c r="Z9" s="15">
        <f t="shared" si="4"/>
        <v>0</v>
      </c>
      <c r="AA9" s="26"/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3" t="s">
        <v>77</v>
      </c>
      <c r="B10" s="44">
        <v>45645</v>
      </c>
      <c r="C10" s="45" t="s">
        <v>75</v>
      </c>
      <c r="D10" s="43" t="s">
        <v>120</v>
      </c>
      <c r="E10" s="46" t="s">
        <v>128</v>
      </c>
      <c r="F10" s="43">
        <v>88</v>
      </c>
      <c r="G10" s="14">
        <f t="shared" si="8"/>
        <v>363</v>
      </c>
      <c r="H10" s="8">
        <f>ROUND(PRODUCT(G10/7),0)</f>
        <v>52</v>
      </c>
      <c r="I10" s="8">
        <f>ROUND(PRODUCT(G10/COUNT(F4:F10)),0)</f>
        <v>73</v>
      </c>
      <c r="J10" s="36">
        <v>0.18958333333333333</v>
      </c>
      <c r="K10" s="18">
        <f t="shared" si="5"/>
        <v>0.89930555555555558</v>
      </c>
      <c r="L10" s="40">
        <f t="shared" si="0"/>
        <v>19.3</v>
      </c>
      <c r="M10" s="31">
        <v>32</v>
      </c>
      <c r="N10" s="36">
        <v>0.33333333333333331</v>
      </c>
      <c r="O10" s="18">
        <f t="shared" si="6"/>
        <v>1.5659722222222223</v>
      </c>
      <c r="P10" s="40">
        <f t="shared" si="1"/>
        <v>11</v>
      </c>
      <c r="Q10" s="18">
        <f t="shared" si="2"/>
        <v>0.14374999999999999</v>
      </c>
      <c r="R10" s="18">
        <f t="shared" si="9"/>
        <v>0.66666666666666674</v>
      </c>
      <c r="S10" s="26">
        <v>17</v>
      </c>
      <c r="T10" s="26">
        <v>3</v>
      </c>
      <c r="U10" s="15">
        <f t="shared" si="10"/>
        <v>-14</v>
      </c>
      <c r="V10" s="26">
        <v>500</v>
      </c>
      <c r="W10" s="15">
        <f t="shared" si="7"/>
        <v>1887</v>
      </c>
      <c r="X10" s="8">
        <f t="shared" si="3"/>
        <v>514</v>
      </c>
      <c r="Y10" s="15">
        <f t="shared" si="11"/>
        <v>1894</v>
      </c>
      <c r="Z10" s="15">
        <f t="shared" si="4"/>
        <v>-14</v>
      </c>
      <c r="AA10" s="26">
        <v>20</v>
      </c>
      <c r="AB10" s="8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3" t="s">
        <v>78</v>
      </c>
      <c r="B11" s="44">
        <v>45646</v>
      </c>
      <c r="C11" s="45" t="s">
        <v>128</v>
      </c>
      <c r="D11" s="43" t="s">
        <v>123</v>
      </c>
      <c r="E11" s="46" t="s">
        <v>79</v>
      </c>
      <c r="F11" s="43">
        <v>138</v>
      </c>
      <c r="G11" s="14">
        <f t="shared" si="8"/>
        <v>501</v>
      </c>
      <c r="H11" s="8">
        <f>ROUND(PRODUCT(G11/8),0)</f>
        <v>63</v>
      </c>
      <c r="I11" s="8">
        <f>ROUND(PRODUCT(G11/COUNT(F4:F11)),0)</f>
        <v>84</v>
      </c>
      <c r="J11" s="36">
        <v>0.30277777777777776</v>
      </c>
      <c r="K11" s="18">
        <f t="shared" si="5"/>
        <v>1.2020833333333334</v>
      </c>
      <c r="L11" s="40">
        <f t="shared" si="0"/>
        <v>19</v>
      </c>
      <c r="M11" s="32">
        <v>34</v>
      </c>
      <c r="N11" s="36">
        <v>0.39583333333333331</v>
      </c>
      <c r="O11" s="18">
        <f t="shared" si="6"/>
        <v>1.9618055555555556</v>
      </c>
      <c r="P11" s="40">
        <f t="shared" si="1"/>
        <v>14.5</v>
      </c>
      <c r="Q11" s="18">
        <f t="shared" si="2"/>
        <v>9.3055555555555558E-2</v>
      </c>
      <c r="R11" s="18">
        <f t="shared" si="9"/>
        <v>0.7597222222222223</v>
      </c>
      <c r="S11" s="26">
        <v>3</v>
      </c>
      <c r="T11" s="26">
        <v>12</v>
      </c>
      <c r="U11" s="15">
        <f t="shared" si="10"/>
        <v>9</v>
      </c>
      <c r="V11" s="26">
        <v>884</v>
      </c>
      <c r="W11" s="15">
        <f t="shared" si="7"/>
        <v>2771</v>
      </c>
      <c r="X11" s="8">
        <f t="shared" si="3"/>
        <v>875</v>
      </c>
      <c r="Y11" s="15">
        <f t="shared" si="11"/>
        <v>2769</v>
      </c>
      <c r="Z11" s="15">
        <f t="shared" si="4"/>
        <v>9</v>
      </c>
      <c r="AA11" s="26">
        <v>40</v>
      </c>
      <c r="AB11" s="26"/>
      <c r="AC11" s="27"/>
      <c r="AD11" s="26"/>
      <c r="AE11" s="27"/>
      <c r="AF11" s="27"/>
      <c r="AG11" s="27"/>
      <c r="AH11" s="16">
        <f t="shared" si="12"/>
        <v>0</v>
      </c>
    </row>
    <row r="12" spans="1:34" ht="13">
      <c r="A12" s="43" t="s">
        <v>80</v>
      </c>
      <c r="B12" s="44">
        <v>45647</v>
      </c>
      <c r="C12" s="45" t="s">
        <v>79</v>
      </c>
      <c r="D12" s="43" t="s">
        <v>119</v>
      </c>
      <c r="E12" s="46" t="s">
        <v>81</v>
      </c>
      <c r="F12" s="43">
        <v>114</v>
      </c>
      <c r="G12" s="14">
        <f t="shared" si="8"/>
        <v>615</v>
      </c>
      <c r="H12" s="8">
        <f>ROUND(PRODUCT(G12/9),0)</f>
        <v>68</v>
      </c>
      <c r="I12" s="8">
        <f>ROUND(PRODUCT(G12/COUNT(F4:F12)),0)</f>
        <v>88</v>
      </c>
      <c r="J12" s="36">
        <v>0.27638888888888891</v>
      </c>
      <c r="K12" s="18">
        <f t="shared" si="5"/>
        <v>1.4784722222222224</v>
      </c>
      <c r="L12" s="40">
        <f t="shared" si="0"/>
        <v>17.2</v>
      </c>
      <c r="M12" s="31">
        <v>31.6</v>
      </c>
      <c r="N12" s="36">
        <v>0.33333333333333331</v>
      </c>
      <c r="O12" s="18">
        <f t="shared" si="6"/>
        <v>2.2951388888888888</v>
      </c>
      <c r="P12" s="40">
        <f t="shared" si="1"/>
        <v>14.3</v>
      </c>
      <c r="Q12" s="18">
        <f t="shared" si="2"/>
        <v>5.6944444444444409E-2</v>
      </c>
      <c r="R12" s="18">
        <f t="shared" si="9"/>
        <v>0.81666666666666665</v>
      </c>
      <c r="S12" s="26">
        <v>12</v>
      </c>
      <c r="T12" s="26">
        <v>33</v>
      </c>
      <c r="U12" s="15">
        <f t="shared" si="10"/>
        <v>21</v>
      </c>
      <c r="V12" s="26">
        <v>790</v>
      </c>
      <c r="W12" s="15">
        <f t="shared" si="7"/>
        <v>3561</v>
      </c>
      <c r="X12" s="8">
        <f t="shared" si="3"/>
        <v>769</v>
      </c>
      <c r="Y12" s="15">
        <f t="shared" si="11"/>
        <v>3538</v>
      </c>
      <c r="Z12" s="15">
        <f t="shared" si="4"/>
        <v>21</v>
      </c>
      <c r="AA12" s="26">
        <v>80</v>
      </c>
      <c r="AB12" s="8"/>
      <c r="AC12" s="27"/>
      <c r="AD12" s="26"/>
      <c r="AE12" s="27"/>
      <c r="AF12" s="27"/>
      <c r="AG12" s="27"/>
      <c r="AH12" s="16">
        <f t="shared" si="12"/>
        <v>0</v>
      </c>
    </row>
    <row r="13" spans="1:34" ht="13">
      <c r="A13" s="43" t="s">
        <v>5</v>
      </c>
      <c r="B13" s="44">
        <v>45648</v>
      </c>
      <c r="C13" s="45" t="s">
        <v>81</v>
      </c>
      <c r="D13" s="43"/>
      <c r="E13" s="46" t="s">
        <v>82</v>
      </c>
      <c r="F13" s="43">
        <v>40</v>
      </c>
      <c r="G13" s="14">
        <f t="shared" si="8"/>
        <v>655</v>
      </c>
      <c r="H13" s="8">
        <f>ROUND(PRODUCT(G13/10),0)</f>
        <v>66</v>
      </c>
      <c r="I13" s="8">
        <f>ROUND(PRODUCT(G13/COUNT(F4:F13)),0)</f>
        <v>82</v>
      </c>
      <c r="J13" s="36">
        <v>9.7222222222222224E-2</v>
      </c>
      <c r="K13" s="18">
        <f t="shared" si="5"/>
        <v>1.5756944444444447</v>
      </c>
      <c r="L13" s="40">
        <f t="shared" si="0"/>
        <v>17.100000000000001</v>
      </c>
      <c r="M13" s="32">
        <v>44.4</v>
      </c>
      <c r="N13" s="36">
        <v>0.16666666666666666</v>
      </c>
      <c r="O13" s="18">
        <f t="shared" si="6"/>
        <v>2.4618055555555554</v>
      </c>
      <c r="P13" s="40">
        <f t="shared" si="1"/>
        <v>10</v>
      </c>
      <c r="Q13" s="18">
        <f t="shared" si="2"/>
        <v>6.9444444444444434E-2</v>
      </c>
      <c r="R13" s="18">
        <f t="shared" si="9"/>
        <v>0.88611111111111107</v>
      </c>
      <c r="S13" s="26">
        <v>33</v>
      </c>
      <c r="T13" s="26">
        <v>10</v>
      </c>
      <c r="U13" s="15">
        <f t="shared" si="10"/>
        <v>-23</v>
      </c>
      <c r="V13" s="26">
        <v>380</v>
      </c>
      <c r="W13" s="15">
        <f t="shared" si="7"/>
        <v>3941</v>
      </c>
      <c r="X13" s="8">
        <f t="shared" si="3"/>
        <v>403</v>
      </c>
      <c r="Y13" s="15">
        <f t="shared" si="11"/>
        <v>3941</v>
      </c>
      <c r="Z13" s="15">
        <f t="shared" si="4"/>
        <v>-23</v>
      </c>
      <c r="AA13" s="26">
        <v>50</v>
      </c>
      <c r="AB13" s="26"/>
      <c r="AC13" s="27"/>
      <c r="AD13" s="26"/>
      <c r="AE13" s="27"/>
      <c r="AF13" s="27"/>
      <c r="AG13" s="27"/>
      <c r="AH13" s="16">
        <f t="shared" si="12"/>
        <v>0</v>
      </c>
    </row>
    <row r="14" spans="1:34" ht="13">
      <c r="A14" s="43" t="s">
        <v>7</v>
      </c>
      <c r="B14" s="44">
        <v>45649</v>
      </c>
      <c r="C14" s="45" t="s">
        <v>82</v>
      </c>
      <c r="D14" s="43" t="s">
        <v>121</v>
      </c>
      <c r="E14" s="46" t="s">
        <v>83</v>
      </c>
      <c r="F14" s="43">
        <v>28</v>
      </c>
      <c r="G14" s="14">
        <f t="shared" si="8"/>
        <v>683</v>
      </c>
      <c r="H14" s="8">
        <f>ROUND(PRODUCT(G14/11),0)</f>
        <v>62</v>
      </c>
      <c r="I14" s="8">
        <f>ROUND(PRODUCT(G14/COUNT(F4:F14)),0)</f>
        <v>76</v>
      </c>
      <c r="J14" s="36">
        <v>7.9166666666666663E-2</v>
      </c>
      <c r="K14" s="18">
        <f t="shared" si="5"/>
        <v>1.6548611111111113</v>
      </c>
      <c r="L14" s="40">
        <f t="shared" si="0"/>
        <v>14.7</v>
      </c>
      <c r="M14" s="32">
        <v>32</v>
      </c>
      <c r="N14" s="36">
        <v>0.45833333333333331</v>
      </c>
      <c r="O14" s="18">
        <f t="shared" si="6"/>
        <v>2.9201388888888888</v>
      </c>
      <c r="P14" s="40">
        <f t="shared" si="1"/>
        <v>2.5</v>
      </c>
      <c r="Q14" s="18">
        <f t="shared" si="2"/>
        <v>0.37916666666666665</v>
      </c>
      <c r="R14" s="18">
        <f t="shared" si="9"/>
        <v>1.2652777777777777</v>
      </c>
      <c r="S14" s="26">
        <v>10</v>
      </c>
      <c r="T14" s="26">
        <v>32</v>
      </c>
      <c r="U14" s="15">
        <f t="shared" si="10"/>
        <v>22</v>
      </c>
      <c r="V14" s="26">
        <v>170</v>
      </c>
      <c r="W14" s="15">
        <f t="shared" si="7"/>
        <v>4111</v>
      </c>
      <c r="X14" s="8">
        <f t="shared" si="3"/>
        <v>148</v>
      </c>
      <c r="Y14" s="15">
        <f t="shared" si="11"/>
        <v>4089</v>
      </c>
      <c r="Z14" s="15">
        <f t="shared" si="4"/>
        <v>22</v>
      </c>
      <c r="AA14" s="26">
        <v>30</v>
      </c>
      <c r="AB14" s="26"/>
      <c r="AC14" s="27"/>
      <c r="AD14" s="26"/>
      <c r="AE14" s="27"/>
      <c r="AF14" s="27"/>
      <c r="AG14" s="27"/>
      <c r="AH14" s="16">
        <f t="shared" si="12"/>
        <v>0</v>
      </c>
    </row>
    <row r="15" spans="1:34" ht="13">
      <c r="A15" s="43" t="s">
        <v>35</v>
      </c>
      <c r="B15" s="44">
        <v>45650</v>
      </c>
      <c r="C15" s="45" t="s">
        <v>83</v>
      </c>
      <c r="D15" s="43" t="s">
        <v>84</v>
      </c>
      <c r="E15" s="46" t="s">
        <v>85</v>
      </c>
      <c r="F15" s="43">
        <v>54</v>
      </c>
      <c r="G15" s="14">
        <f t="shared" si="8"/>
        <v>737</v>
      </c>
      <c r="H15" s="8">
        <f>ROUND(PRODUCT(G15/12),0)</f>
        <v>61</v>
      </c>
      <c r="I15" s="8">
        <f>ROUND(PRODUCT(G15/COUNT(F4:F15)),0)</f>
        <v>74</v>
      </c>
      <c r="J15" s="42">
        <v>0.13333333333333333</v>
      </c>
      <c r="K15" s="18">
        <f t="shared" si="5"/>
        <v>1.7881944444444446</v>
      </c>
      <c r="L15" s="40">
        <f t="shared" si="0"/>
        <v>16.899999999999999</v>
      </c>
      <c r="M15" s="31">
        <v>28</v>
      </c>
      <c r="N15" s="36">
        <v>0.16666666666666666</v>
      </c>
      <c r="O15" s="18">
        <f t="shared" si="6"/>
        <v>3.0868055555555554</v>
      </c>
      <c r="P15" s="40">
        <f t="shared" si="1"/>
        <v>13.5</v>
      </c>
      <c r="Q15" s="18">
        <f t="shared" si="2"/>
        <v>3.3333333333333326E-2</v>
      </c>
      <c r="R15" s="18">
        <f t="shared" si="9"/>
        <v>1.2986111111111112</v>
      </c>
      <c r="S15" s="26">
        <v>32</v>
      </c>
      <c r="T15" s="26">
        <v>10</v>
      </c>
      <c r="U15" s="15">
        <f t="shared" si="10"/>
        <v>-22</v>
      </c>
      <c r="V15" s="26">
        <v>470</v>
      </c>
      <c r="W15" s="15">
        <f t="shared" si="7"/>
        <v>4581</v>
      </c>
      <c r="X15" s="8">
        <f t="shared" si="3"/>
        <v>492</v>
      </c>
      <c r="Y15" s="15">
        <f t="shared" si="11"/>
        <v>4581</v>
      </c>
      <c r="Z15" s="15">
        <f t="shared" si="4"/>
        <v>-22</v>
      </c>
      <c r="AA15" s="26">
        <v>70</v>
      </c>
      <c r="AB15" s="8"/>
      <c r="AC15" s="27"/>
      <c r="AD15" s="26"/>
      <c r="AE15" s="27"/>
      <c r="AF15" s="27"/>
      <c r="AG15" s="27"/>
      <c r="AH15" s="16">
        <f t="shared" si="12"/>
        <v>0</v>
      </c>
    </row>
    <row r="16" spans="1:34" ht="13">
      <c r="A16" s="43" t="s">
        <v>36</v>
      </c>
      <c r="B16" s="44">
        <v>45651</v>
      </c>
      <c r="C16" s="45" t="s">
        <v>85</v>
      </c>
      <c r="D16" s="43" t="s">
        <v>124</v>
      </c>
      <c r="E16" s="46" t="s">
        <v>86</v>
      </c>
      <c r="F16" s="43">
        <v>140</v>
      </c>
      <c r="G16" s="14">
        <f t="shared" si="8"/>
        <v>877</v>
      </c>
      <c r="H16" s="8">
        <f>ROUND(PRODUCT(G16/13),0)</f>
        <v>67</v>
      </c>
      <c r="I16" s="8">
        <f>ROUND(PRODUCT(G16/COUNT(F4:F16)),0)</f>
        <v>80</v>
      </c>
      <c r="J16" s="36">
        <v>0.41597222222222224</v>
      </c>
      <c r="K16" s="18">
        <f t="shared" si="5"/>
        <v>2.2041666666666671</v>
      </c>
      <c r="L16" s="40">
        <f t="shared" si="0"/>
        <v>14</v>
      </c>
      <c r="M16" s="31">
        <v>28</v>
      </c>
      <c r="N16" s="36">
        <v>0.52083333333333337</v>
      </c>
      <c r="O16" s="18">
        <f t="shared" si="6"/>
        <v>3.6076388888888888</v>
      </c>
      <c r="P16" s="40">
        <f t="shared" si="1"/>
        <v>11.2</v>
      </c>
      <c r="Q16" s="18">
        <f t="shared" si="2"/>
        <v>0.10486111111111113</v>
      </c>
      <c r="R16" s="18">
        <f t="shared" si="9"/>
        <v>1.4034722222222222</v>
      </c>
      <c r="S16" s="26">
        <v>10</v>
      </c>
      <c r="T16" s="26">
        <v>43</v>
      </c>
      <c r="U16" s="15">
        <f t="shared" si="10"/>
        <v>33</v>
      </c>
      <c r="V16" s="26">
        <v>1250</v>
      </c>
      <c r="W16" s="15">
        <f t="shared" si="7"/>
        <v>5831</v>
      </c>
      <c r="X16" s="8">
        <f t="shared" si="3"/>
        <v>1217</v>
      </c>
      <c r="Y16" s="15">
        <f t="shared" si="11"/>
        <v>5798</v>
      </c>
      <c r="Z16" s="15">
        <f t="shared" si="4"/>
        <v>33</v>
      </c>
      <c r="AA16" s="26">
        <v>70</v>
      </c>
      <c r="AB16" s="8"/>
      <c r="AC16" s="27"/>
      <c r="AD16" s="26"/>
      <c r="AE16" s="27"/>
      <c r="AF16" s="27"/>
      <c r="AG16" s="27"/>
      <c r="AH16" s="16">
        <f t="shared" si="12"/>
        <v>0</v>
      </c>
    </row>
    <row r="17" spans="1:34" ht="13">
      <c r="A17" s="43" t="s">
        <v>37</v>
      </c>
      <c r="B17" s="44">
        <v>45652</v>
      </c>
      <c r="C17" s="45" t="s">
        <v>86</v>
      </c>
      <c r="D17" s="43"/>
      <c r="E17" s="46" t="s">
        <v>87</v>
      </c>
      <c r="F17" s="43">
        <v>117</v>
      </c>
      <c r="G17" s="14">
        <f t="shared" si="8"/>
        <v>994</v>
      </c>
      <c r="H17" s="8">
        <f>ROUND(PRODUCT(G17/14),0)</f>
        <v>71</v>
      </c>
      <c r="I17" s="8">
        <f>ROUND(PRODUCT(G17/COUNT(F4:F17)),0)</f>
        <v>83</v>
      </c>
      <c r="J17" s="36">
        <v>0.25138888888888888</v>
      </c>
      <c r="K17" s="18">
        <f t="shared" si="5"/>
        <v>2.4555555555555557</v>
      </c>
      <c r="L17" s="40">
        <f t="shared" si="0"/>
        <v>19.399999999999999</v>
      </c>
      <c r="M17" s="31">
        <v>48</v>
      </c>
      <c r="N17" s="36">
        <v>0.41666666666666669</v>
      </c>
      <c r="O17" s="18">
        <f t="shared" si="6"/>
        <v>4.0243055555555554</v>
      </c>
      <c r="P17" s="40">
        <f t="shared" si="1"/>
        <v>11.7</v>
      </c>
      <c r="Q17" s="18">
        <f t="shared" si="2"/>
        <v>0.1652777777777778</v>
      </c>
      <c r="R17" s="18">
        <f t="shared" si="9"/>
        <v>1.5687500000000001</v>
      </c>
      <c r="S17" s="26">
        <v>43</v>
      </c>
      <c r="T17" s="26">
        <v>11</v>
      </c>
      <c r="U17" s="15">
        <f t="shared" si="10"/>
        <v>-32</v>
      </c>
      <c r="V17" s="26">
        <v>1030</v>
      </c>
      <c r="W17" s="15">
        <f t="shared" si="7"/>
        <v>6861</v>
      </c>
      <c r="X17" s="8">
        <f t="shared" si="3"/>
        <v>1062</v>
      </c>
      <c r="Y17" s="15">
        <f t="shared" si="11"/>
        <v>6860</v>
      </c>
      <c r="Z17" s="15">
        <f t="shared" si="4"/>
        <v>-32</v>
      </c>
      <c r="AA17" s="26">
        <v>80</v>
      </c>
      <c r="AB17" s="8"/>
      <c r="AC17" s="27"/>
      <c r="AD17" s="26"/>
      <c r="AE17" s="27"/>
      <c r="AF17" s="27"/>
      <c r="AG17" s="27"/>
      <c r="AH17" s="16">
        <f t="shared" si="12"/>
        <v>0</v>
      </c>
    </row>
    <row r="18" spans="1:34" ht="13">
      <c r="A18" s="43" t="s">
        <v>38</v>
      </c>
      <c r="B18" s="44">
        <v>45653</v>
      </c>
      <c r="C18" s="45" t="s">
        <v>87</v>
      </c>
      <c r="D18" s="43"/>
      <c r="E18" s="46" t="s">
        <v>129</v>
      </c>
      <c r="F18" s="43">
        <v>126</v>
      </c>
      <c r="G18" s="14">
        <f t="shared" si="8"/>
        <v>1120</v>
      </c>
      <c r="H18" s="8">
        <f>ROUND(PRODUCT(G18/15),0)</f>
        <v>75</v>
      </c>
      <c r="I18" s="8">
        <f>ROUND(PRODUCT(G18/COUNT(F4:F18)),0)</f>
        <v>86</v>
      </c>
      <c r="J18" s="36">
        <v>0.28958333333333336</v>
      </c>
      <c r="K18" s="18">
        <f t="shared" si="5"/>
        <v>2.745138888888889</v>
      </c>
      <c r="L18" s="40">
        <f t="shared" si="0"/>
        <v>18.100000000000001</v>
      </c>
      <c r="M18" s="31">
        <v>32.799999999999997</v>
      </c>
      <c r="N18" s="36">
        <v>0.39583333333333331</v>
      </c>
      <c r="O18" s="18">
        <f t="shared" si="6"/>
        <v>4.4201388888888884</v>
      </c>
      <c r="P18" s="40">
        <f t="shared" si="1"/>
        <v>13.3</v>
      </c>
      <c r="Q18" s="18">
        <f t="shared" si="2"/>
        <v>0.10624999999999996</v>
      </c>
      <c r="R18" s="18">
        <f t="shared" si="9"/>
        <v>1.675</v>
      </c>
      <c r="S18" s="26">
        <v>11</v>
      </c>
      <c r="T18" s="8">
        <v>63</v>
      </c>
      <c r="U18" s="15">
        <f t="shared" si="10"/>
        <v>52</v>
      </c>
      <c r="V18" s="26">
        <v>950</v>
      </c>
      <c r="W18" s="15">
        <f t="shared" si="7"/>
        <v>7811</v>
      </c>
      <c r="X18" s="8">
        <f t="shared" si="3"/>
        <v>898</v>
      </c>
      <c r="Y18" s="15">
        <f t="shared" si="11"/>
        <v>7758</v>
      </c>
      <c r="Z18" s="15">
        <f t="shared" si="4"/>
        <v>52</v>
      </c>
      <c r="AA18" s="26">
        <v>100</v>
      </c>
      <c r="AB18" s="8"/>
      <c r="AC18" s="27"/>
      <c r="AD18" s="26"/>
      <c r="AE18" s="27"/>
      <c r="AF18" s="27"/>
      <c r="AG18" s="27"/>
      <c r="AH18" s="16">
        <f t="shared" si="12"/>
        <v>0</v>
      </c>
    </row>
    <row r="19" spans="1:34" ht="13">
      <c r="A19" s="43" t="s">
        <v>39</v>
      </c>
      <c r="B19" s="44">
        <v>45654</v>
      </c>
      <c r="C19" s="45" t="s">
        <v>129</v>
      </c>
      <c r="D19" s="43" t="s">
        <v>88</v>
      </c>
      <c r="E19" s="46" t="s">
        <v>89</v>
      </c>
      <c r="F19" s="43">
        <v>105</v>
      </c>
      <c r="G19" s="14">
        <f t="shared" si="8"/>
        <v>1225</v>
      </c>
      <c r="H19" s="8">
        <f>ROUND(PRODUCT(G19/16),0)</f>
        <v>77</v>
      </c>
      <c r="I19" s="8">
        <f>ROUND(PRODUCT(G19/COUNT(F4:F19)),0)</f>
        <v>88</v>
      </c>
      <c r="J19" s="36">
        <v>0.22361111111111112</v>
      </c>
      <c r="K19" s="18">
        <f t="shared" si="5"/>
        <v>2.96875</v>
      </c>
      <c r="L19" s="40">
        <f t="shared" si="0"/>
        <v>19.600000000000001</v>
      </c>
      <c r="M19" s="31">
        <v>52</v>
      </c>
      <c r="N19" s="36">
        <v>0.3125</v>
      </c>
      <c r="O19" s="18">
        <f t="shared" si="6"/>
        <v>4.7326388888888884</v>
      </c>
      <c r="P19" s="40">
        <f t="shared" si="1"/>
        <v>14</v>
      </c>
      <c r="Q19" s="18">
        <f t="shared" si="2"/>
        <v>8.8888888888888878E-2</v>
      </c>
      <c r="R19" s="18">
        <f t="shared" si="9"/>
        <v>1.7638888888888888</v>
      </c>
      <c r="S19" s="8">
        <v>63</v>
      </c>
      <c r="T19" s="26">
        <v>48</v>
      </c>
      <c r="U19" s="15">
        <f t="shared" si="10"/>
        <v>-15</v>
      </c>
      <c r="V19" s="26">
        <v>1340</v>
      </c>
      <c r="W19" s="15">
        <f t="shared" si="7"/>
        <v>9151</v>
      </c>
      <c r="X19" s="8">
        <f t="shared" si="3"/>
        <v>1355</v>
      </c>
      <c r="Y19" s="15">
        <f t="shared" si="11"/>
        <v>9113</v>
      </c>
      <c r="Z19" s="15">
        <f t="shared" si="4"/>
        <v>-15</v>
      </c>
      <c r="AA19" s="26">
        <v>100</v>
      </c>
      <c r="AB19" s="8"/>
      <c r="AC19" s="27"/>
      <c r="AD19" s="26"/>
      <c r="AE19" s="27"/>
      <c r="AF19" s="27"/>
      <c r="AG19" s="27"/>
      <c r="AH19" s="16">
        <f t="shared" si="12"/>
        <v>0</v>
      </c>
    </row>
    <row r="20" spans="1:34" ht="13">
      <c r="A20" s="43" t="s">
        <v>40</v>
      </c>
      <c r="B20" s="44">
        <v>45655</v>
      </c>
      <c r="C20" s="45" t="s">
        <v>89</v>
      </c>
      <c r="D20" s="43"/>
      <c r="E20" s="46" t="s">
        <v>90</v>
      </c>
      <c r="F20" s="43">
        <v>55</v>
      </c>
      <c r="G20" s="14">
        <f t="shared" si="8"/>
        <v>1280</v>
      </c>
      <c r="H20" s="8">
        <f>ROUND(PRODUCT(G20/17),0)</f>
        <v>75</v>
      </c>
      <c r="I20" s="8">
        <f>ROUND(PRODUCT(G20/COUNT(F4:F20)),0)</f>
        <v>85</v>
      </c>
      <c r="J20" s="36">
        <v>0.11041666666666666</v>
      </c>
      <c r="K20" s="18">
        <f t="shared" si="5"/>
        <v>3.0791666666666666</v>
      </c>
      <c r="L20" s="40">
        <f t="shared" si="0"/>
        <v>20.8</v>
      </c>
      <c r="M20" s="31">
        <v>50</v>
      </c>
      <c r="N20" s="36">
        <v>0.125</v>
      </c>
      <c r="O20" s="18">
        <f t="shared" si="6"/>
        <v>4.8576388888888884</v>
      </c>
      <c r="P20" s="40">
        <f t="shared" si="1"/>
        <v>18.3</v>
      </c>
      <c r="Q20" s="18">
        <f t="shared" si="2"/>
        <v>1.4583333333333337E-2</v>
      </c>
      <c r="R20" s="18">
        <f t="shared" si="9"/>
        <v>1.7784722222222222</v>
      </c>
      <c r="S20" s="26">
        <v>48</v>
      </c>
      <c r="T20" s="26">
        <v>65</v>
      </c>
      <c r="U20" s="15">
        <f t="shared" si="10"/>
        <v>17</v>
      </c>
      <c r="V20" s="26">
        <v>280</v>
      </c>
      <c r="W20" s="15">
        <f t="shared" si="7"/>
        <v>9431</v>
      </c>
      <c r="X20" s="8">
        <f t="shared" si="3"/>
        <v>263</v>
      </c>
      <c r="Y20" s="15">
        <f t="shared" si="11"/>
        <v>9376</v>
      </c>
      <c r="Z20" s="15">
        <f t="shared" si="4"/>
        <v>17</v>
      </c>
      <c r="AA20" s="26">
        <v>100</v>
      </c>
      <c r="AB20" s="8"/>
      <c r="AC20" s="27"/>
      <c r="AD20" s="26"/>
      <c r="AE20" s="27"/>
      <c r="AF20" s="27"/>
      <c r="AG20" s="27"/>
      <c r="AH20" s="16">
        <f t="shared" si="12"/>
        <v>0</v>
      </c>
    </row>
    <row r="21" spans="1:34" ht="13">
      <c r="A21" s="43" t="s">
        <v>41</v>
      </c>
      <c r="B21" s="44">
        <v>45656</v>
      </c>
      <c r="C21" s="45" t="s">
        <v>90</v>
      </c>
      <c r="D21" s="43" t="s">
        <v>125</v>
      </c>
      <c r="E21" s="46" t="s">
        <v>91</v>
      </c>
      <c r="F21" s="43">
        <v>98</v>
      </c>
      <c r="G21" s="14">
        <f t="shared" si="8"/>
        <v>1378</v>
      </c>
      <c r="H21" s="8">
        <f>ROUND(PRODUCT(G21/18),0)</f>
        <v>77</v>
      </c>
      <c r="I21" s="8">
        <f>ROUND(PRODUCT(G21/COUNT(F4:F21)),0)</f>
        <v>86</v>
      </c>
      <c r="J21" s="36">
        <v>0.25486111111111109</v>
      </c>
      <c r="K21" s="18">
        <f t="shared" si="5"/>
        <v>3.3340277777777776</v>
      </c>
      <c r="L21" s="40">
        <f t="shared" si="0"/>
        <v>16</v>
      </c>
      <c r="M21" s="32">
        <v>38.6</v>
      </c>
      <c r="N21" s="36">
        <v>0.33333333333333331</v>
      </c>
      <c r="O21" s="18">
        <f t="shared" si="6"/>
        <v>5.1909722222222214</v>
      </c>
      <c r="P21" s="40">
        <f t="shared" si="1"/>
        <v>12.3</v>
      </c>
      <c r="Q21" s="18">
        <f t="shared" si="2"/>
        <v>7.8472222222222221E-2</v>
      </c>
      <c r="R21" s="18">
        <f t="shared" si="9"/>
        <v>1.8569444444444445</v>
      </c>
      <c r="S21" s="26">
        <v>65</v>
      </c>
      <c r="T21" s="26">
        <v>75</v>
      </c>
      <c r="U21" s="15">
        <f t="shared" si="10"/>
        <v>10</v>
      </c>
      <c r="V21" s="26">
        <v>1050</v>
      </c>
      <c r="W21" s="15">
        <f t="shared" si="7"/>
        <v>10481</v>
      </c>
      <c r="X21" s="8">
        <f t="shared" si="3"/>
        <v>1040</v>
      </c>
      <c r="Y21" s="15">
        <f t="shared" si="11"/>
        <v>10416</v>
      </c>
      <c r="Z21" s="15">
        <f t="shared" si="4"/>
        <v>10</v>
      </c>
      <c r="AA21" s="26">
        <v>120</v>
      </c>
      <c r="AB21" s="26"/>
      <c r="AC21" s="27"/>
      <c r="AD21" s="26"/>
      <c r="AE21" s="27"/>
      <c r="AF21" s="27"/>
      <c r="AG21" s="27"/>
      <c r="AH21" s="16">
        <f t="shared" si="12"/>
        <v>0</v>
      </c>
    </row>
    <row r="22" spans="1:34" ht="13">
      <c r="A22" s="43" t="s">
        <v>42</v>
      </c>
      <c r="B22" s="44">
        <v>45657</v>
      </c>
      <c r="C22" s="45" t="s">
        <v>91</v>
      </c>
      <c r="D22" s="43"/>
      <c r="E22" s="46" t="s">
        <v>92</v>
      </c>
      <c r="F22" s="43">
        <v>106</v>
      </c>
      <c r="G22" s="14">
        <f t="shared" si="8"/>
        <v>1484</v>
      </c>
      <c r="H22" s="8">
        <f>ROUND(PRODUCT(G22/19),0)</f>
        <v>78</v>
      </c>
      <c r="I22" s="8">
        <f>ROUND(PRODUCT(G22/COUNT(F4:F22)),0)</f>
        <v>87</v>
      </c>
      <c r="J22" s="36">
        <v>0.22638888888888889</v>
      </c>
      <c r="K22" s="18">
        <f t="shared" si="5"/>
        <v>3.5604166666666663</v>
      </c>
      <c r="L22" s="40">
        <f t="shared" si="0"/>
        <v>19.5</v>
      </c>
      <c r="M22" s="32">
        <v>35</v>
      </c>
      <c r="N22" s="36">
        <v>0.41666666666666669</v>
      </c>
      <c r="O22" s="18">
        <f t="shared" si="6"/>
        <v>5.6076388888888884</v>
      </c>
      <c r="P22" s="40">
        <f t="shared" si="1"/>
        <v>10.6</v>
      </c>
      <c r="Q22" s="18">
        <f t="shared" si="2"/>
        <v>0.1902777777777778</v>
      </c>
      <c r="R22" s="18">
        <f t="shared" si="9"/>
        <v>2.0472222222222225</v>
      </c>
      <c r="S22" s="26">
        <v>75</v>
      </c>
      <c r="T22" s="26">
        <v>92</v>
      </c>
      <c r="U22" s="15">
        <f t="shared" si="10"/>
        <v>17</v>
      </c>
      <c r="V22" s="26">
        <v>750</v>
      </c>
      <c r="W22" s="15">
        <f t="shared" si="7"/>
        <v>11231</v>
      </c>
      <c r="X22" s="8">
        <f t="shared" si="3"/>
        <v>733</v>
      </c>
      <c r="Y22" s="15">
        <f t="shared" si="11"/>
        <v>11149</v>
      </c>
      <c r="Z22" s="15">
        <f t="shared" si="4"/>
        <v>17</v>
      </c>
      <c r="AA22" s="26">
        <v>160</v>
      </c>
      <c r="AB22" s="26"/>
      <c r="AC22" s="27"/>
      <c r="AD22" s="26"/>
      <c r="AE22" s="27"/>
      <c r="AF22" s="27"/>
      <c r="AG22" s="27"/>
      <c r="AH22" s="16">
        <f t="shared" si="12"/>
        <v>0</v>
      </c>
    </row>
    <row r="23" spans="1:34" ht="13">
      <c r="A23" s="43" t="s">
        <v>45</v>
      </c>
      <c r="B23" s="44">
        <v>45658</v>
      </c>
      <c r="C23" s="45" t="s">
        <v>92</v>
      </c>
      <c r="D23" s="43" t="s">
        <v>93</v>
      </c>
      <c r="E23" s="46" t="s">
        <v>126</v>
      </c>
      <c r="F23" s="43">
        <v>90</v>
      </c>
      <c r="G23" s="14">
        <f t="shared" si="8"/>
        <v>1574</v>
      </c>
      <c r="H23" s="8">
        <f>ROUND(PRODUCT(G23/20),0)</f>
        <v>79</v>
      </c>
      <c r="I23" s="8">
        <f>ROUND(PRODUCT(G23/COUNT(F4:F23)),0)</f>
        <v>87</v>
      </c>
      <c r="J23" s="42">
        <v>0.20833333333333334</v>
      </c>
      <c r="K23" s="18">
        <f t="shared" si="5"/>
        <v>3.7687499999999998</v>
      </c>
      <c r="L23" s="40">
        <f t="shared" si="0"/>
        <v>18</v>
      </c>
      <c r="M23" s="32">
        <v>38</v>
      </c>
      <c r="N23" s="42">
        <v>0.25</v>
      </c>
      <c r="O23" s="18">
        <f t="shared" si="6"/>
        <v>5.8576388888888884</v>
      </c>
      <c r="P23" s="40">
        <f t="shared" si="1"/>
        <v>15</v>
      </c>
      <c r="Q23" s="18">
        <f t="shared" si="2"/>
        <v>4.1666666666666657E-2</v>
      </c>
      <c r="R23" s="18">
        <f t="shared" si="9"/>
        <v>2.088888888888889</v>
      </c>
      <c r="S23" s="26">
        <v>92</v>
      </c>
      <c r="T23" s="26">
        <v>113</v>
      </c>
      <c r="U23" s="15">
        <f t="shared" si="10"/>
        <v>21</v>
      </c>
      <c r="V23" s="26">
        <v>730</v>
      </c>
      <c r="W23" s="15">
        <f t="shared" si="7"/>
        <v>11961</v>
      </c>
      <c r="X23" s="8">
        <f t="shared" si="3"/>
        <v>709</v>
      </c>
      <c r="Y23" s="15">
        <f t="shared" si="11"/>
        <v>11858</v>
      </c>
      <c r="Z23" s="15">
        <f t="shared" si="4"/>
        <v>21</v>
      </c>
      <c r="AA23" s="26">
        <v>140</v>
      </c>
      <c r="AB23" s="26"/>
      <c r="AC23" s="27"/>
      <c r="AD23" s="26"/>
      <c r="AE23" s="27"/>
      <c r="AF23" s="27"/>
      <c r="AG23" s="27"/>
      <c r="AH23" s="16">
        <f t="shared" si="12"/>
        <v>0</v>
      </c>
    </row>
    <row r="24" spans="1:34" ht="13">
      <c r="A24" s="43" t="s">
        <v>46</v>
      </c>
      <c r="B24" s="44">
        <v>45659</v>
      </c>
      <c r="C24" s="45" t="s">
        <v>126</v>
      </c>
      <c r="D24" s="43" t="s">
        <v>94</v>
      </c>
      <c r="E24" s="46" t="s">
        <v>95</v>
      </c>
      <c r="F24" s="43">
        <v>95</v>
      </c>
      <c r="G24" s="14">
        <f t="shared" si="8"/>
        <v>1669</v>
      </c>
      <c r="H24" s="8">
        <f>ROUND(PRODUCT(G24/21),0)</f>
        <v>79</v>
      </c>
      <c r="I24" s="8">
        <f>ROUND(PRODUCT(G24/COUNT(F4:F24)),0)</f>
        <v>88</v>
      </c>
      <c r="J24" s="36">
        <v>0.23541666666666666</v>
      </c>
      <c r="K24" s="18">
        <f t="shared" si="5"/>
        <v>4.0041666666666664</v>
      </c>
      <c r="L24" s="40">
        <f t="shared" si="0"/>
        <v>16.8</v>
      </c>
      <c r="M24" s="32">
        <v>39</v>
      </c>
      <c r="N24" s="36">
        <v>0.33333333333333331</v>
      </c>
      <c r="O24" s="18">
        <f t="shared" si="6"/>
        <v>6.1909722222222214</v>
      </c>
      <c r="P24" s="40">
        <f t="shared" si="1"/>
        <v>11.9</v>
      </c>
      <c r="Q24" s="18">
        <f t="shared" si="2"/>
        <v>9.7916666666666652E-2</v>
      </c>
      <c r="R24" s="18">
        <f t="shared" si="9"/>
        <v>2.1868055555555559</v>
      </c>
      <c r="S24" s="26">
        <v>113</v>
      </c>
      <c r="T24" s="26">
        <v>20</v>
      </c>
      <c r="U24" s="15">
        <f t="shared" si="10"/>
        <v>-93</v>
      </c>
      <c r="V24" s="26">
        <v>1070</v>
      </c>
      <c r="W24" s="15">
        <f t="shared" si="7"/>
        <v>13031</v>
      </c>
      <c r="X24" s="8">
        <f t="shared" si="3"/>
        <v>1163</v>
      </c>
      <c r="Y24" s="15">
        <f t="shared" si="11"/>
        <v>13021</v>
      </c>
      <c r="Z24" s="15">
        <f t="shared" si="4"/>
        <v>-93</v>
      </c>
      <c r="AA24" s="26">
        <v>150</v>
      </c>
      <c r="AB24" s="26"/>
      <c r="AC24" s="27"/>
      <c r="AD24" s="26"/>
      <c r="AE24" s="27"/>
      <c r="AF24" s="27"/>
      <c r="AG24" s="27"/>
      <c r="AH24" s="16">
        <f t="shared" si="12"/>
        <v>0</v>
      </c>
    </row>
    <row r="25" spans="1:34" ht="13">
      <c r="A25" s="43" t="s">
        <v>47</v>
      </c>
      <c r="B25" s="44">
        <v>45660</v>
      </c>
      <c r="C25" s="45" t="s">
        <v>95</v>
      </c>
      <c r="D25" s="43"/>
      <c r="E25" s="46" t="s">
        <v>96</v>
      </c>
      <c r="F25" s="43">
        <v>131</v>
      </c>
      <c r="G25" s="14">
        <f t="shared" si="8"/>
        <v>1800</v>
      </c>
      <c r="H25" s="8">
        <f>ROUND(PRODUCT(G25/22),0)</f>
        <v>82</v>
      </c>
      <c r="I25" s="8">
        <f>ROUND(PRODUCT(G25/COUNT(F4:F25)),0)</f>
        <v>90</v>
      </c>
      <c r="J25" s="36">
        <v>0.31666666666666665</v>
      </c>
      <c r="K25" s="18">
        <f t="shared" si="5"/>
        <v>4.3208333333333329</v>
      </c>
      <c r="L25" s="40">
        <f t="shared" si="0"/>
        <v>17.2</v>
      </c>
      <c r="M25" s="32">
        <v>33</v>
      </c>
      <c r="N25" s="36">
        <v>0.40625</v>
      </c>
      <c r="O25" s="18">
        <f t="shared" si="6"/>
        <v>6.5972222222222214</v>
      </c>
      <c r="P25" s="40">
        <f t="shared" si="1"/>
        <v>13.4</v>
      </c>
      <c r="Q25" s="18">
        <f t="shared" si="2"/>
        <v>8.9583333333333348E-2</v>
      </c>
      <c r="R25" s="18">
        <f t="shared" si="9"/>
        <v>2.2763888888888895</v>
      </c>
      <c r="S25" s="26">
        <v>20</v>
      </c>
      <c r="T25" s="26">
        <v>29</v>
      </c>
      <c r="U25" s="15">
        <f t="shared" si="10"/>
        <v>9</v>
      </c>
      <c r="V25" s="26">
        <v>970</v>
      </c>
      <c r="W25" s="15">
        <f t="shared" si="7"/>
        <v>14001</v>
      </c>
      <c r="X25" s="8">
        <f t="shared" si="3"/>
        <v>961</v>
      </c>
      <c r="Y25" s="15">
        <f t="shared" si="11"/>
        <v>13982</v>
      </c>
      <c r="Z25" s="15">
        <f t="shared" si="4"/>
        <v>9</v>
      </c>
      <c r="AA25" s="26">
        <v>90</v>
      </c>
      <c r="AB25" s="26"/>
      <c r="AC25" s="27"/>
      <c r="AD25" s="26"/>
      <c r="AE25" s="27"/>
      <c r="AF25" s="27"/>
      <c r="AG25" s="27"/>
      <c r="AH25" s="16">
        <f t="shared" si="12"/>
        <v>0</v>
      </c>
    </row>
    <row r="26" spans="1:34" ht="13">
      <c r="A26" s="43" t="s">
        <v>48</v>
      </c>
      <c r="B26" s="44">
        <v>45661</v>
      </c>
      <c r="C26" s="45"/>
      <c r="D26" s="43" t="s">
        <v>96</v>
      </c>
      <c r="E26" s="46"/>
      <c r="F26" s="47"/>
      <c r="G26" s="14">
        <f t="shared" si="8"/>
        <v>1800</v>
      </c>
      <c r="H26" s="8">
        <f>ROUND(PRODUCT(G26/23),0)</f>
        <v>78</v>
      </c>
      <c r="I26" s="8">
        <f>ROUND(PRODUCT(G26/COUNT(F4:F26)),0)</f>
        <v>90</v>
      </c>
      <c r="J26" s="36"/>
      <c r="K26" s="18">
        <f t="shared" si="5"/>
        <v>4.3208333333333329</v>
      </c>
      <c r="L26" s="40">
        <f t="shared" si="0"/>
        <v>0</v>
      </c>
      <c r="M26" s="32"/>
      <c r="N26" s="36"/>
      <c r="O26" s="18">
        <f t="shared" si="6"/>
        <v>6.5972222222222214</v>
      </c>
      <c r="P26" s="40">
        <f t="shared" si="1"/>
        <v>0</v>
      </c>
      <c r="Q26" s="18">
        <f t="shared" si="2"/>
        <v>0</v>
      </c>
      <c r="R26" s="18">
        <f t="shared" si="9"/>
        <v>2.2763888888888895</v>
      </c>
      <c r="S26" s="26"/>
      <c r="T26" s="26"/>
      <c r="U26" s="15">
        <f t="shared" si="10"/>
        <v>0</v>
      </c>
      <c r="V26" s="26"/>
      <c r="W26" s="15">
        <f t="shared" si="7"/>
        <v>14001</v>
      </c>
      <c r="X26" s="8">
        <f t="shared" si="3"/>
        <v>0</v>
      </c>
      <c r="Y26" s="15">
        <f t="shared" si="11"/>
        <v>13982</v>
      </c>
      <c r="Z26" s="15">
        <f t="shared" si="4"/>
        <v>0</v>
      </c>
      <c r="AA26" s="26"/>
      <c r="AB26" s="26"/>
      <c r="AC26" s="27"/>
      <c r="AD26" s="26"/>
      <c r="AE26" s="27"/>
      <c r="AF26" s="27"/>
      <c r="AG26" s="27"/>
      <c r="AH26" s="16">
        <f t="shared" si="12"/>
        <v>0</v>
      </c>
    </row>
    <row r="27" spans="1:34" ht="13">
      <c r="A27" s="43" t="s">
        <v>49</v>
      </c>
      <c r="B27" s="44">
        <v>45662</v>
      </c>
      <c r="C27" s="45" t="s">
        <v>96</v>
      </c>
      <c r="D27" s="43"/>
      <c r="E27" s="46" t="s">
        <v>97</v>
      </c>
      <c r="F27" s="43">
        <v>74</v>
      </c>
      <c r="G27" s="14">
        <f t="shared" si="8"/>
        <v>1874</v>
      </c>
      <c r="H27" s="8">
        <f>ROUND(PRODUCT(G27/24),0)</f>
        <v>78</v>
      </c>
      <c r="I27" s="8">
        <f>ROUND(PRODUCT(G27/COUNT(F4:F27)),0)</f>
        <v>89</v>
      </c>
      <c r="J27" s="36">
        <v>0.15972222222222221</v>
      </c>
      <c r="K27" s="18">
        <f t="shared" si="5"/>
        <v>4.4805555555555552</v>
      </c>
      <c r="L27" s="40">
        <f t="shared" si="0"/>
        <v>19.3</v>
      </c>
      <c r="M27" s="32">
        <v>46</v>
      </c>
      <c r="N27" s="36">
        <v>0.27083333333333331</v>
      </c>
      <c r="O27" s="18">
        <f t="shared" si="6"/>
        <v>6.8680555555555545</v>
      </c>
      <c r="P27" s="40">
        <f t="shared" si="1"/>
        <v>11.4</v>
      </c>
      <c r="Q27" s="18">
        <f t="shared" si="2"/>
        <v>0.1111111111111111</v>
      </c>
      <c r="R27" s="18">
        <f t="shared" si="9"/>
        <v>2.3875000000000006</v>
      </c>
      <c r="S27" s="26">
        <v>29</v>
      </c>
      <c r="T27" s="26">
        <v>93</v>
      </c>
      <c r="U27" s="15">
        <f t="shared" si="10"/>
        <v>64</v>
      </c>
      <c r="V27" s="26">
        <v>750</v>
      </c>
      <c r="W27" s="15">
        <f t="shared" si="7"/>
        <v>14751</v>
      </c>
      <c r="X27" s="8">
        <f t="shared" si="3"/>
        <v>686</v>
      </c>
      <c r="Y27" s="15">
        <f t="shared" si="11"/>
        <v>14668</v>
      </c>
      <c r="Z27" s="15">
        <f t="shared" si="4"/>
        <v>64</v>
      </c>
      <c r="AA27" s="26">
        <v>150</v>
      </c>
      <c r="AB27" s="26"/>
      <c r="AC27" s="27"/>
      <c r="AD27" s="26"/>
      <c r="AE27" s="27"/>
      <c r="AF27" s="27"/>
      <c r="AG27" s="27"/>
      <c r="AH27" s="16">
        <f t="shared" si="12"/>
        <v>0</v>
      </c>
    </row>
    <row r="28" spans="1:34" ht="13">
      <c r="A28" s="43" t="s">
        <v>50</v>
      </c>
      <c r="B28" s="44">
        <v>45663</v>
      </c>
      <c r="C28" s="45" t="s">
        <v>97</v>
      </c>
      <c r="D28" s="43"/>
      <c r="E28" s="46" t="s">
        <v>98</v>
      </c>
      <c r="F28" s="43">
        <v>59</v>
      </c>
      <c r="G28" s="14">
        <f t="shared" si="8"/>
        <v>1933</v>
      </c>
      <c r="H28" s="8">
        <f>ROUND(PRODUCT(G28/25),0)</f>
        <v>77</v>
      </c>
      <c r="I28" s="8">
        <f>ROUND(PRODUCT(G28/COUNT(F4:F28)),0)</f>
        <v>88</v>
      </c>
      <c r="J28" s="36">
        <v>0.1423611111111111</v>
      </c>
      <c r="K28" s="18">
        <f t="shared" si="5"/>
        <v>4.6229166666666659</v>
      </c>
      <c r="L28" s="40">
        <f t="shared" si="0"/>
        <v>17.3</v>
      </c>
      <c r="M28" s="32">
        <v>38</v>
      </c>
      <c r="N28" s="36">
        <v>0.25</v>
      </c>
      <c r="O28" s="18">
        <f t="shared" si="6"/>
        <v>7.1180555555555545</v>
      </c>
      <c r="P28" s="40">
        <f t="shared" si="1"/>
        <v>9.8000000000000007</v>
      </c>
      <c r="Q28" s="18">
        <f t="shared" si="2"/>
        <v>0.1076388888888889</v>
      </c>
      <c r="R28" s="18">
        <f t="shared" si="9"/>
        <v>2.4951388888888895</v>
      </c>
      <c r="S28" s="26">
        <v>93</v>
      </c>
      <c r="T28" s="26">
        <v>275</v>
      </c>
      <c r="U28" s="15">
        <f t="shared" si="10"/>
        <v>182</v>
      </c>
      <c r="V28" s="26">
        <v>700</v>
      </c>
      <c r="W28" s="15">
        <f t="shared" si="7"/>
        <v>15451</v>
      </c>
      <c r="X28" s="8">
        <f t="shared" si="3"/>
        <v>518</v>
      </c>
      <c r="Y28" s="15">
        <f t="shared" si="11"/>
        <v>15186</v>
      </c>
      <c r="Z28" s="15">
        <f t="shared" si="4"/>
        <v>182</v>
      </c>
      <c r="AA28" s="26">
        <v>290</v>
      </c>
      <c r="AB28" s="26"/>
      <c r="AC28" s="27"/>
      <c r="AD28" s="26"/>
      <c r="AE28" s="27"/>
      <c r="AF28" s="27"/>
      <c r="AG28" s="27"/>
      <c r="AH28" s="16">
        <f t="shared" si="12"/>
        <v>0</v>
      </c>
    </row>
    <row r="29" spans="1:34" ht="13">
      <c r="A29" s="43" t="s">
        <v>51</v>
      </c>
      <c r="B29" s="44">
        <v>45664</v>
      </c>
      <c r="C29" s="45" t="s">
        <v>98</v>
      </c>
      <c r="D29" s="43" t="s">
        <v>115</v>
      </c>
      <c r="E29" s="46" t="s">
        <v>99</v>
      </c>
      <c r="F29" s="43">
        <v>49</v>
      </c>
      <c r="G29" s="14">
        <f t="shared" si="8"/>
        <v>1982</v>
      </c>
      <c r="H29" s="8">
        <f>ROUND(PRODUCT(G29/26),0)</f>
        <v>76</v>
      </c>
      <c r="I29" s="8">
        <f>ROUND(PRODUCT(G29/COUNT(F4:F29)),0)</f>
        <v>86</v>
      </c>
      <c r="J29" s="36">
        <v>0.10416666666666667</v>
      </c>
      <c r="K29" s="18">
        <f t="shared" si="5"/>
        <v>4.7270833333333329</v>
      </c>
      <c r="L29" s="40">
        <f t="shared" si="0"/>
        <v>19.600000000000001</v>
      </c>
      <c r="M29" s="32">
        <v>31</v>
      </c>
      <c r="N29" s="36">
        <v>0.14583333333333334</v>
      </c>
      <c r="O29" s="18">
        <f t="shared" si="6"/>
        <v>7.2638888888888875</v>
      </c>
      <c r="P29" s="40">
        <f t="shared" si="1"/>
        <v>14</v>
      </c>
      <c r="Q29" s="18">
        <f t="shared" si="2"/>
        <v>4.1666666666666671E-2</v>
      </c>
      <c r="R29" s="18">
        <f t="shared" si="9"/>
        <v>2.536805555555556</v>
      </c>
      <c r="S29" s="26">
        <v>275</v>
      </c>
      <c r="T29" s="26">
        <v>270</v>
      </c>
      <c r="U29" s="15">
        <f t="shared" si="10"/>
        <v>-5</v>
      </c>
      <c r="V29" s="26">
        <v>430</v>
      </c>
      <c r="W29" s="15">
        <f t="shared" si="7"/>
        <v>15881</v>
      </c>
      <c r="X29" s="8">
        <f t="shared" si="3"/>
        <v>435</v>
      </c>
      <c r="Y29" s="15">
        <f t="shared" si="11"/>
        <v>15621</v>
      </c>
      <c r="Z29" s="15">
        <f t="shared" si="4"/>
        <v>-5</v>
      </c>
      <c r="AA29" s="26">
        <v>330</v>
      </c>
      <c r="AB29" s="26"/>
      <c r="AC29" s="27"/>
      <c r="AD29" s="26"/>
      <c r="AE29" s="27"/>
      <c r="AF29" s="27"/>
      <c r="AG29" s="27"/>
      <c r="AH29" s="16">
        <f t="shared" si="12"/>
        <v>0</v>
      </c>
    </row>
    <row r="30" spans="1:34" ht="13">
      <c r="A30" s="43" t="s">
        <v>52</v>
      </c>
      <c r="B30" s="44">
        <v>45665</v>
      </c>
      <c r="C30" s="45" t="s">
        <v>99</v>
      </c>
      <c r="D30" s="43" t="s">
        <v>100</v>
      </c>
      <c r="E30" s="46" t="s">
        <v>99</v>
      </c>
      <c r="F30" s="43">
        <v>40</v>
      </c>
      <c r="G30" s="14">
        <f t="shared" si="8"/>
        <v>2022</v>
      </c>
      <c r="H30" s="8">
        <f>ROUND(PRODUCT(G30/27),0)</f>
        <v>75</v>
      </c>
      <c r="I30" s="8">
        <f>ROUND(PRODUCT(G30/COUNT(F4:F30)),0)</f>
        <v>84</v>
      </c>
      <c r="J30" s="36">
        <v>9.375E-2</v>
      </c>
      <c r="K30" s="18">
        <f t="shared" si="5"/>
        <v>4.8208333333333329</v>
      </c>
      <c r="L30" s="40">
        <f t="shared" si="0"/>
        <v>17.8</v>
      </c>
      <c r="M30" s="32">
        <v>28</v>
      </c>
      <c r="N30" s="36">
        <v>0.10416666666666667</v>
      </c>
      <c r="O30" s="18">
        <f t="shared" si="6"/>
        <v>7.3680555555555545</v>
      </c>
      <c r="P30" s="40">
        <f t="shared" si="1"/>
        <v>16</v>
      </c>
      <c r="Q30" s="18">
        <f t="shared" si="2"/>
        <v>1.0416666666666671E-2</v>
      </c>
      <c r="R30" s="18">
        <f t="shared" si="9"/>
        <v>2.5472222222222225</v>
      </c>
      <c r="S30" s="26">
        <v>252</v>
      </c>
      <c r="T30" s="26">
        <v>253</v>
      </c>
      <c r="U30" s="15">
        <f t="shared" si="10"/>
        <v>1</v>
      </c>
      <c r="V30" s="26">
        <v>280</v>
      </c>
      <c r="W30" s="15">
        <f t="shared" si="7"/>
        <v>16161</v>
      </c>
      <c r="X30" s="8">
        <f t="shared" si="3"/>
        <v>279</v>
      </c>
      <c r="Y30" s="15">
        <f t="shared" si="11"/>
        <v>15900</v>
      </c>
      <c r="Z30" s="15">
        <f t="shared" si="4"/>
        <v>1</v>
      </c>
      <c r="AA30" s="26">
        <v>320</v>
      </c>
      <c r="AB30" s="26"/>
      <c r="AC30" s="27"/>
      <c r="AD30" s="26"/>
      <c r="AE30" s="27"/>
      <c r="AF30" s="27"/>
      <c r="AG30" s="27"/>
      <c r="AH30" s="16">
        <f t="shared" si="12"/>
        <v>0</v>
      </c>
    </row>
    <row r="31" spans="1:34" ht="13">
      <c r="A31" s="43" t="s">
        <v>53</v>
      </c>
      <c r="B31" s="44">
        <v>45666</v>
      </c>
      <c r="C31" s="45" t="s">
        <v>99</v>
      </c>
      <c r="D31" s="43" t="s">
        <v>101</v>
      </c>
      <c r="E31" s="46" t="s">
        <v>102</v>
      </c>
      <c r="F31" s="43">
        <v>103</v>
      </c>
      <c r="G31" s="14">
        <f t="shared" si="8"/>
        <v>2125</v>
      </c>
      <c r="H31" s="8">
        <f>ROUND(PRODUCT(G31/28),0)</f>
        <v>76</v>
      </c>
      <c r="I31" s="8">
        <f>ROUND(PRODUCT(G31/COUNT(F4:F31)),0)</f>
        <v>85</v>
      </c>
      <c r="J31" s="36">
        <v>0.24444444444444444</v>
      </c>
      <c r="K31" s="18">
        <f t="shared" si="5"/>
        <v>5.0652777777777773</v>
      </c>
      <c r="L31" s="40">
        <f t="shared" si="0"/>
        <v>17.600000000000001</v>
      </c>
      <c r="M31" s="32">
        <v>33</v>
      </c>
      <c r="N31" s="36">
        <v>0.34375</v>
      </c>
      <c r="O31" s="18">
        <f t="shared" si="6"/>
        <v>7.7118055555555545</v>
      </c>
      <c r="P31" s="40">
        <f t="shared" si="1"/>
        <v>12.5</v>
      </c>
      <c r="Q31" s="18">
        <f t="shared" si="2"/>
        <v>9.9305555555555564E-2</v>
      </c>
      <c r="R31" s="18">
        <f t="shared" si="9"/>
        <v>2.646527777777778</v>
      </c>
      <c r="S31" s="26">
        <v>253</v>
      </c>
      <c r="T31" s="26">
        <v>436</v>
      </c>
      <c r="U31" s="15">
        <f t="shared" si="10"/>
        <v>183</v>
      </c>
      <c r="V31" s="26">
        <v>1200</v>
      </c>
      <c r="W31" s="15">
        <f t="shared" si="7"/>
        <v>17361</v>
      </c>
      <c r="X31" s="8">
        <f t="shared" si="3"/>
        <v>1017</v>
      </c>
      <c r="Y31" s="15">
        <f t="shared" si="11"/>
        <v>16917</v>
      </c>
      <c r="Z31" s="15">
        <f t="shared" si="4"/>
        <v>183</v>
      </c>
      <c r="AA31" s="26">
        <v>510</v>
      </c>
      <c r="AB31" s="26"/>
      <c r="AC31" s="27"/>
      <c r="AD31" s="26"/>
      <c r="AE31" s="27"/>
      <c r="AF31" s="27"/>
      <c r="AG31" s="27"/>
      <c r="AH31" s="16">
        <f t="shared" si="12"/>
        <v>0</v>
      </c>
    </row>
    <row r="32" spans="1:34" ht="13">
      <c r="A32" s="43" t="s">
        <v>54</v>
      </c>
      <c r="B32" s="44">
        <v>45667</v>
      </c>
      <c r="C32" s="45" t="s">
        <v>102</v>
      </c>
      <c r="D32" s="43" t="s">
        <v>103</v>
      </c>
      <c r="E32" s="46" t="s">
        <v>104</v>
      </c>
      <c r="F32" s="43">
        <v>79</v>
      </c>
      <c r="G32" s="14">
        <f t="shared" ref="G32:G40" si="13">SUM(G31,F32)</f>
        <v>2204</v>
      </c>
      <c r="H32" s="8">
        <f>ROUND(PRODUCT(G32/29),0)</f>
        <v>76</v>
      </c>
      <c r="I32" s="8">
        <f>ROUND(PRODUCT(G32/COUNT(F4:F32)),0)</f>
        <v>85</v>
      </c>
      <c r="J32" s="36">
        <v>0.24097222222222223</v>
      </c>
      <c r="K32" s="18">
        <f t="shared" ref="K32:K40" si="14">SUM(J32,K31)</f>
        <v>5.3062499999999995</v>
      </c>
      <c r="L32" s="40">
        <f t="shared" ref="L32:L40" si="15">IF(F32=0,0,ROUND(PRODUCT(F32/SUM(HOUR(J32),PRODUCT(MINUTE(J32)/60))),1))</f>
        <v>13.7</v>
      </c>
      <c r="M32" s="32">
        <v>22.8</v>
      </c>
      <c r="N32" s="36">
        <v>0.3125</v>
      </c>
      <c r="O32" s="18">
        <f t="shared" ref="O32:O40" si="16">SUM(N32,O31)</f>
        <v>8.0243055555555536</v>
      </c>
      <c r="P32" s="40">
        <f t="shared" ref="P32:P40" si="17">IF(F32=0,0,ROUND(PRODUCT(F32/SUM(HOUR(N32),PRODUCT(MINUTE(N32)/60))),1))</f>
        <v>10.5</v>
      </c>
      <c r="Q32" s="18">
        <f t="shared" ref="Q32:Q40" si="18">SUM(N32,-J32)</f>
        <v>7.1527777777777773E-2</v>
      </c>
      <c r="R32" s="18">
        <f t="shared" ref="R32:R40" si="19">SUM(Q32,R31)</f>
        <v>2.7180555555555559</v>
      </c>
      <c r="S32" s="26">
        <v>436</v>
      </c>
      <c r="T32" s="26">
        <v>340</v>
      </c>
      <c r="U32" s="15">
        <f t="shared" ref="U32:U40" si="20">SUM(-S32,T32)</f>
        <v>-96</v>
      </c>
      <c r="V32" s="26">
        <v>730</v>
      </c>
      <c r="W32" s="15">
        <f t="shared" ref="W32:W40" si="21">SUM(W31,V32)</f>
        <v>18091</v>
      </c>
      <c r="X32" s="8">
        <f t="shared" ref="X32:X40" si="22">SUM(S32,-T32,V32)</f>
        <v>826</v>
      </c>
      <c r="Y32" s="15">
        <f t="shared" ref="Y32:Y40" si="23">SUM(Y31,X32)</f>
        <v>17743</v>
      </c>
      <c r="Z32" s="15">
        <f t="shared" ref="Z32:Z40" si="24">SUM(V32,-X32)</f>
        <v>-96</v>
      </c>
      <c r="AA32" s="26">
        <v>450</v>
      </c>
      <c r="AB32" s="26"/>
      <c r="AC32" s="27"/>
      <c r="AD32" s="26"/>
      <c r="AE32" s="27"/>
      <c r="AF32" s="27"/>
      <c r="AG32" s="27"/>
      <c r="AH32" s="16">
        <f t="shared" ref="AH32:AH40" si="25">SUM(AG32,-AF32)</f>
        <v>0</v>
      </c>
    </row>
    <row r="33" spans="1:34" ht="13">
      <c r="A33" s="43" t="s">
        <v>55</v>
      </c>
      <c r="B33" s="44">
        <v>45668</v>
      </c>
      <c r="C33" s="45" t="s">
        <v>104</v>
      </c>
      <c r="D33" s="43" t="s">
        <v>116</v>
      </c>
      <c r="E33" s="46" t="s">
        <v>105</v>
      </c>
      <c r="F33" s="43">
        <v>152</v>
      </c>
      <c r="G33" s="14">
        <f t="shared" si="13"/>
        <v>2356</v>
      </c>
      <c r="H33" s="8">
        <f>ROUND(PRODUCT(G33/30),0)</f>
        <v>79</v>
      </c>
      <c r="I33" s="8">
        <f>ROUND(PRODUCT(G33/COUNT(F4:F33)),0)</f>
        <v>87</v>
      </c>
      <c r="J33" s="36">
        <v>0.34305555555555556</v>
      </c>
      <c r="K33" s="18">
        <f t="shared" si="14"/>
        <v>5.6493055555555554</v>
      </c>
      <c r="L33" s="40">
        <f t="shared" si="15"/>
        <v>18.5</v>
      </c>
      <c r="M33" s="32">
        <v>34.6</v>
      </c>
      <c r="N33" s="36">
        <v>0.4375</v>
      </c>
      <c r="O33" s="18">
        <f t="shared" si="16"/>
        <v>8.4618055555555536</v>
      </c>
      <c r="P33" s="40">
        <f t="shared" si="17"/>
        <v>14.5</v>
      </c>
      <c r="Q33" s="18">
        <f t="shared" si="18"/>
        <v>9.4444444444444442E-2</v>
      </c>
      <c r="R33" s="18">
        <f t="shared" si="19"/>
        <v>2.8125000000000004</v>
      </c>
      <c r="S33" s="26">
        <v>340</v>
      </c>
      <c r="T33" s="26">
        <v>247</v>
      </c>
      <c r="U33" s="15">
        <f t="shared" si="20"/>
        <v>-93</v>
      </c>
      <c r="V33" s="26">
        <v>1330</v>
      </c>
      <c r="W33" s="15">
        <f t="shared" si="21"/>
        <v>19421</v>
      </c>
      <c r="X33" s="8">
        <f t="shared" si="22"/>
        <v>1423</v>
      </c>
      <c r="Y33" s="15">
        <f t="shared" si="23"/>
        <v>19166</v>
      </c>
      <c r="Z33" s="15">
        <f t="shared" si="24"/>
        <v>-93</v>
      </c>
      <c r="AA33" s="26">
        <v>410</v>
      </c>
      <c r="AB33" s="26"/>
      <c r="AC33" s="27"/>
      <c r="AD33" s="26"/>
      <c r="AE33" s="27"/>
      <c r="AF33" s="27"/>
      <c r="AG33" s="27"/>
      <c r="AH33" s="16">
        <f t="shared" si="25"/>
        <v>0</v>
      </c>
    </row>
    <row r="34" spans="1:34" ht="13">
      <c r="A34" s="43" t="s">
        <v>56</v>
      </c>
      <c r="B34" s="44">
        <v>45669</v>
      </c>
      <c r="C34" s="45" t="s">
        <v>106</v>
      </c>
      <c r="D34" s="43"/>
      <c r="E34" s="46" t="s">
        <v>107</v>
      </c>
      <c r="F34" s="43">
        <v>105</v>
      </c>
      <c r="G34" s="14">
        <f t="shared" si="13"/>
        <v>2461</v>
      </c>
      <c r="H34" s="8">
        <f>ROUND(PRODUCT(G34/31),0)</f>
        <v>79</v>
      </c>
      <c r="I34" s="8">
        <f>ROUND(PRODUCT(G34/COUNT(F4:F34)),0)</f>
        <v>88</v>
      </c>
      <c r="J34" s="36">
        <v>0.23958333333333334</v>
      </c>
      <c r="K34" s="18">
        <f t="shared" si="14"/>
        <v>5.8888888888888884</v>
      </c>
      <c r="L34" s="40">
        <f t="shared" si="15"/>
        <v>18.3</v>
      </c>
      <c r="M34" s="32">
        <v>34</v>
      </c>
      <c r="N34" s="36">
        <v>0.375</v>
      </c>
      <c r="O34" s="18">
        <f t="shared" si="16"/>
        <v>8.8368055555555536</v>
      </c>
      <c r="P34" s="40">
        <f t="shared" si="17"/>
        <v>11.7</v>
      </c>
      <c r="Q34" s="18">
        <f t="shared" si="18"/>
        <v>0.13541666666666666</v>
      </c>
      <c r="R34" s="18">
        <f t="shared" si="19"/>
        <v>2.947916666666667</v>
      </c>
      <c r="S34" s="26">
        <v>247</v>
      </c>
      <c r="T34" s="26">
        <v>264</v>
      </c>
      <c r="U34" s="15">
        <f t="shared" si="20"/>
        <v>17</v>
      </c>
      <c r="V34" s="26">
        <v>1300</v>
      </c>
      <c r="W34" s="15">
        <f t="shared" si="21"/>
        <v>20721</v>
      </c>
      <c r="X34" s="8">
        <f t="shared" si="22"/>
        <v>1283</v>
      </c>
      <c r="Y34" s="15">
        <f t="shared" si="23"/>
        <v>20449</v>
      </c>
      <c r="Z34" s="15">
        <f t="shared" si="24"/>
        <v>17</v>
      </c>
      <c r="AA34" s="26">
        <v>380</v>
      </c>
      <c r="AB34" s="26"/>
      <c r="AC34" s="27"/>
      <c r="AD34" s="26"/>
      <c r="AE34" s="27"/>
      <c r="AF34" s="27"/>
      <c r="AG34" s="27"/>
      <c r="AH34" s="16">
        <f t="shared" si="25"/>
        <v>0</v>
      </c>
    </row>
    <row r="35" spans="1:34" ht="13">
      <c r="A35" s="43" t="s">
        <v>57</v>
      </c>
      <c r="B35" s="44">
        <v>45670</v>
      </c>
      <c r="C35" s="45" t="s">
        <v>107</v>
      </c>
      <c r="D35" s="43"/>
      <c r="E35" s="46" t="s">
        <v>108</v>
      </c>
      <c r="F35" s="43">
        <v>83</v>
      </c>
      <c r="G35" s="14">
        <f t="shared" si="13"/>
        <v>2544</v>
      </c>
      <c r="H35" s="8">
        <f>ROUND(PRODUCT(G35/32),0)</f>
        <v>80</v>
      </c>
      <c r="I35" s="8">
        <f>ROUND(PRODUCT(G35/COUNT(F4:F35)),0)</f>
        <v>88</v>
      </c>
      <c r="J35" s="36">
        <v>0.1701388888888889</v>
      </c>
      <c r="K35" s="18">
        <f t="shared" si="14"/>
        <v>6.0590277777777777</v>
      </c>
      <c r="L35" s="40">
        <f t="shared" si="15"/>
        <v>20.3</v>
      </c>
      <c r="M35" s="32">
        <v>40</v>
      </c>
      <c r="N35" s="36">
        <v>0.22916666666666666</v>
      </c>
      <c r="O35" s="18">
        <f t="shared" si="16"/>
        <v>9.0659722222222197</v>
      </c>
      <c r="P35" s="40">
        <f t="shared" si="17"/>
        <v>15.1</v>
      </c>
      <c r="Q35" s="18">
        <f t="shared" si="18"/>
        <v>5.9027777777777762E-2</v>
      </c>
      <c r="R35" s="18">
        <f t="shared" si="19"/>
        <v>3.0069444444444446</v>
      </c>
      <c r="S35" s="26">
        <v>264</v>
      </c>
      <c r="T35" s="26">
        <v>198</v>
      </c>
      <c r="U35" s="15">
        <f t="shared" si="20"/>
        <v>-66</v>
      </c>
      <c r="V35" s="26">
        <v>750</v>
      </c>
      <c r="W35" s="15">
        <f t="shared" si="21"/>
        <v>21471</v>
      </c>
      <c r="X35" s="8">
        <f t="shared" si="22"/>
        <v>816</v>
      </c>
      <c r="Y35" s="15">
        <f t="shared" si="23"/>
        <v>21265</v>
      </c>
      <c r="Z35" s="15">
        <f t="shared" si="24"/>
        <v>-66</v>
      </c>
      <c r="AA35" s="26">
        <v>350</v>
      </c>
      <c r="AB35" s="26"/>
      <c r="AC35" s="27"/>
      <c r="AD35" s="26"/>
      <c r="AE35" s="27"/>
      <c r="AF35" s="27"/>
      <c r="AG35" s="27"/>
      <c r="AH35" s="16">
        <f t="shared" si="25"/>
        <v>0</v>
      </c>
    </row>
    <row r="36" spans="1:34" ht="13">
      <c r="A36" s="43" t="s">
        <v>58</v>
      </c>
      <c r="B36" s="44">
        <v>45671</v>
      </c>
      <c r="C36" s="45" t="s">
        <v>108</v>
      </c>
      <c r="D36" s="43"/>
      <c r="E36" s="46" t="s">
        <v>109</v>
      </c>
      <c r="F36" s="43">
        <v>62</v>
      </c>
      <c r="G36" s="14">
        <f t="shared" si="13"/>
        <v>2606</v>
      </c>
      <c r="H36" s="8">
        <f>ROUND(PRODUCT(G36/33),0)</f>
        <v>79</v>
      </c>
      <c r="I36" s="8">
        <f>ROUND(PRODUCT(G36/COUNT(F4:F36)),0)</f>
        <v>87</v>
      </c>
      <c r="J36" s="36">
        <v>0.1388888888888889</v>
      </c>
      <c r="K36" s="18">
        <f t="shared" si="14"/>
        <v>6.197916666666667</v>
      </c>
      <c r="L36" s="40">
        <f t="shared" si="15"/>
        <v>18.600000000000001</v>
      </c>
      <c r="M36" s="32">
        <v>38.6</v>
      </c>
      <c r="N36" s="36">
        <v>0.20833333333333334</v>
      </c>
      <c r="O36" s="18">
        <f t="shared" si="16"/>
        <v>9.2743055555555536</v>
      </c>
      <c r="P36" s="40">
        <f t="shared" si="17"/>
        <v>12.4</v>
      </c>
      <c r="Q36" s="18">
        <f t="shared" si="18"/>
        <v>6.9444444444444448E-2</v>
      </c>
      <c r="R36" s="18">
        <f t="shared" si="19"/>
        <v>3.0763888888888893</v>
      </c>
      <c r="S36" s="26">
        <v>198</v>
      </c>
      <c r="T36" s="26">
        <v>202</v>
      </c>
      <c r="U36" s="15">
        <f t="shared" si="20"/>
        <v>4</v>
      </c>
      <c r="V36" s="26">
        <v>470</v>
      </c>
      <c r="W36" s="15">
        <f t="shared" si="21"/>
        <v>21941</v>
      </c>
      <c r="X36" s="8">
        <f t="shared" si="22"/>
        <v>466</v>
      </c>
      <c r="Y36" s="15">
        <f t="shared" si="23"/>
        <v>21731</v>
      </c>
      <c r="Z36" s="15">
        <f t="shared" si="24"/>
        <v>4</v>
      </c>
      <c r="AA36" s="26">
        <v>280</v>
      </c>
      <c r="AB36" s="26"/>
      <c r="AC36" s="27"/>
      <c r="AD36" s="26"/>
      <c r="AE36" s="27"/>
      <c r="AF36" s="27"/>
      <c r="AG36" s="27"/>
      <c r="AH36" s="16">
        <f t="shared" si="25"/>
        <v>0</v>
      </c>
    </row>
    <row r="37" spans="1:34" ht="13">
      <c r="A37" s="43" t="s">
        <v>59</v>
      </c>
      <c r="B37" s="44">
        <v>45672</v>
      </c>
      <c r="C37" s="45" t="s">
        <v>109</v>
      </c>
      <c r="D37" s="43"/>
      <c r="E37" s="46" t="s">
        <v>110</v>
      </c>
      <c r="F37" s="43">
        <v>95</v>
      </c>
      <c r="G37" s="14">
        <f t="shared" si="13"/>
        <v>2701</v>
      </c>
      <c r="H37" s="8">
        <f>ROUND(PRODUCT(G37/34),0)</f>
        <v>79</v>
      </c>
      <c r="I37" s="8">
        <f>ROUND(PRODUCT(G37/COUNT(F4:F37)),0)</f>
        <v>87</v>
      </c>
      <c r="J37" s="36">
        <v>0.19791666666666666</v>
      </c>
      <c r="K37" s="18">
        <f t="shared" si="14"/>
        <v>6.3958333333333339</v>
      </c>
      <c r="L37" s="40">
        <f t="shared" si="15"/>
        <v>20</v>
      </c>
      <c r="M37" s="32">
        <v>38.6</v>
      </c>
      <c r="N37" s="36">
        <v>0.25</v>
      </c>
      <c r="O37" s="18">
        <f t="shared" si="16"/>
        <v>9.5243055555555536</v>
      </c>
      <c r="P37" s="40">
        <f t="shared" si="17"/>
        <v>15.8</v>
      </c>
      <c r="Q37" s="18">
        <f t="shared" si="18"/>
        <v>5.2083333333333343E-2</v>
      </c>
      <c r="R37" s="18">
        <f t="shared" si="19"/>
        <v>3.1284722222222228</v>
      </c>
      <c r="S37" s="26">
        <v>202</v>
      </c>
      <c r="T37" s="26">
        <v>115</v>
      </c>
      <c r="U37" s="15">
        <f t="shared" si="20"/>
        <v>-87</v>
      </c>
      <c r="V37" s="26">
        <v>820</v>
      </c>
      <c r="W37" s="15">
        <f t="shared" si="21"/>
        <v>22761</v>
      </c>
      <c r="X37" s="8">
        <f t="shared" si="22"/>
        <v>907</v>
      </c>
      <c r="Y37" s="15">
        <f t="shared" si="23"/>
        <v>22638</v>
      </c>
      <c r="Z37" s="15">
        <f t="shared" si="24"/>
        <v>-87</v>
      </c>
      <c r="AA37" s="26">
        <v>270</v>
      </c>
      <c r="AB37" s="26"/>
      <c r="AC37" s="27"/>
      <c r="AD37" s="26"/>
      <c r="AE37" s="27"/>
      <c r="AF37" s="27"/>
      <c r="AG37" s="27"/>
      <c r="AH37" s="16">
        <f t="shared" si="25"/>
        <v>0</v>
      </c>
    </row>
    <row r="38" spans="1:34" ht="13">
      <c r="A38" s="43" t="s">
        <v>60</v>
      </c>
      <c r="B38" s="44">
        <v>45673</v>
      </c>
      <c r="C38" s="45" t="s">
        <v>110</v>
      </c>
      <c r="D38" s="43" t="s">
        <v>127</v>
      </c>
      <c r="E38" s="46" t="s">
        <v>111</v>
      </c>
      <c r="F38" s="43">
        <v>78</v>
      </c>
      <c r="G38" s="14">
        <f t="shared" si="13"/>
        <v>2779</v>
      </c>
      <c r="H38" s="8">
        <f>ROUND(PRODUCT(G38/35),0)</f>
        <v>79</v>
      </c>
      <c r="I38" s="8">
        <f>ROUND(PRODUCT(G38/COUNT(F4:F38)),0)</f>
        <v>87</v>
      </c>
      <c r="J38" s="36">
        <v>0.1875</v>
      </c>
      <c r="K38" s="18">
        <f t="shared" si="14"/>
        <v>6.5833333333333339</v>
      </c>
      <c r="L38" s="40">
        <f t="shared" si="15"/>
        <v>17.3</v>
      </c>
      <c r="M38" s="32">
        <v>42.6</v>
      </c>
      <c r="N38" s="36">
        <v>0.25</v>
      </c>
      <c r="O38" s="18">
        <f t="shared" si="16"/>
        <v>9.7743055555555536</v>
      </c>
      <c r="P38" s="40">
        <f t="shared" si="17"/>
        <v>13</v>
      </c>
      <c r="Q38" s="18">
        <f t="shared" si="18"/>
        <v>6.25E-2</v>
      </c>
      <c r="R38" s="18">
        <f t="shared" si="19"/>
        <v>3.1909722222222228</v>
      </c>
      <c r="S38" s="26">
        <v>115</v>
      </c>
      <c r="T38" s="26">
        <v>99</v>
      </c>
      <c r="U38" s="15">
        <f t="shared" si="20"/>
        <v>-16</v>
      </c>
      <c r="V38" s="26">
        <v>820</v>
      </c>
      <c r="W38" s="15">
        <f t="shared" si="21"/>
        <v>23581</v>
      </c>
      <c r="X38" s="8">
        <f t="shared" si="22"/>
        <v>836</v>
      </c>
      <c r="Y38" s="15">
        <f t="shared" si="23"/>
        <v>23474</v>
      </c>
      <c r="Z38" s="15">
        <f t="shared" si="24"/>
        <v>-16</v>
      </c>
      <c r="AA38" s="26">
        <v>170</v>
      </c>
      <c r="AB38" s="26"/>
      <c r="AC38" s="27"/>
      <c r="AD38" s="26"/>
      <c r="AE38" s="27"/>
      <c r="AF38" s="27"/>
      <c r="AG38" s="27"/>
      <c r="AH38" s="16">
        <f t="shared" si="25"/>
        <v>0</v>
      </c>
    </row>
    <row r="39" spans="1:34" ht="13">
      <c r="A39" s="43" t="s">
        <v>61</v>
      </c>
      <c r="B39" s="44">
        <v>45674</v>
      </c>
      <c r="C39" s="45" t="s">
        <v>111</v>
      </c>
      <c r="D39" s="43" t="s">
        <v>112</v>
      </c>
      <c r="E39" s="46" t="s">
        <v>113</v>
      </c>
      <c r="F39" s="43">
        <v>81</v>
      </c>
      <c r="G39" s="14">
        <f t="shared" si="13"/>
        <v>2860</v>
      </c>
      <c r="H39" s="8">
        <f>ROUND(PRODUCT(G39/36),0)</f>
        <v>79</v>
      </c>
      <c r="I39" s="8">
        <f>ROUND(PRODUCT(G39/COUNT(F4:F39)),0)</f>
        <v>87</v>
      </c>
      <c r="J39" s="36">
        <v>0.16875000000000001</v>
      </c>
      <c r="K39" s="18">
        <f t="shared" si="14"/>
        <v>6.7520833333333341</v>
      </c>
      <c r="L39" s="40">
        <f t="shared" si="15"/>
        <v>20</v>
      </c>
      <c r="M39" s="32">
        <v>44</v>
      </c>
      <c r="N39" s="36">
        <v>0.25</v>
      </c>
      <c r="O39" s="18">
        <f t="shared" si="16"/>
        <v>10.024305555555554</v>
      </c>
      <c r="P39" s="40">
        <f t="shared" si="17"/>
        <v>13.5</v>
      </c>
      <c r="Q39" s="18">
        <f t="shared" si="18"/>
        <v>8.1249999999999989E-2</v>
      </c>
      <c r="R39" s="18">
        <f t="shared" si="19"/>
        <v>3.2722222222222226</v>
      </c>
      <c r="S39" s="26">
        <v>99</v>
      </c>
      <c r="T39" s="26">
        <v>17</v>
      </c>
      <c r="U39" s="15">
        <f t="shared" si="20"/>
        <v>-82</v>
      </c>
      <c r="V39" s="26">
        <v>530</v>
      </c>
      <c r="W39" s="15">
        <f t="shared" si="21"/>
        <v>24111</v>
      </c>
      <c r="X39" s="8">
        <f t="shared" si="22"/>
        <v>612</v>
      </c>
      <c r="Y39" s="15">
        <f t="shared" si="23"/>
        <v>24086</v>
      </c>
      <c r="Z39" s="15">
        <f t="shared" si="24"/>
        <v>-82</v>
      </c>
      <c r="AA39" s="26">
        <v>140</v>
      </c>
      <c r="AB39" s="26"/>
      <c r="AC39" s="27"/>
      <c r="AD39" s="26"/>
      <c r="AE39" s="27"/>
      <c r="AF39" s="27"/>
      <c r="AG39" s="27"/>
      <c r="AH39" s="16">
        <f t="shared" si="25"/>
        <v>0</v>
      </c>
    </row>
    <row r="40" spans="1:34" ht="13">
      <c r="A40" s="43" t="s">
        <v>62</v>
      </c>
      <c r="B40" s="44">
        <v>45675</v>
      </c>
      <c r="C40" s="45" t="s">
        <v>113</v>
      </c>
      <c r="D40" s="43"/>
      <c r="E40" s="46" t="s">
        <v>114</v>
      </c>
      <c r="F40" s="43">
        <v>65</v>
      </c>
      <c r="G40" s="14">
        <f t="shared" si="13"/>
        <v>2925</v>
      </c>
      <c r="H40" s="8">
        <f>ROUND(PRODUCT(G40/37),0)</f>
        <v>79</v>
      </c>
      <c r="I40" s="8">
        <f>ROUND(PRODUCT(G40/COUNT(F4:F40)),0)</f>
        <v>86</v>
      </c>
      <c r="J40" s="36">
        <v>0.15</v>
      </c>
      <c r="K40" s="18">
        <f t="shared" si="14"/>
        <v>6.9020833333333345</v>
      </c>
      <c r="L40" s="40">
        <f t="shared" si="15"/>
        <v>18.100000000000001</v>
      </c>
      <c r="M40" s="32">
        <v>32.6</v>
      </c>
      <c r="N40" s="36">
        <v>0.20833333333333334</v>
      </c>
      <c r="O40" s="18">
        <f t="shared" si="16"/>
        <v>10.232638888888888</v>
      </c>
      <c r="P40" s="40">
        <f t="shared" si="17"/>
        <v>13</v>
      </c>
      <c r="Q40" s="18">
        <f t="shared" si="18"/>
        <v>5.8333333333333348E-2</v>
      </c>
      <c r="R40" s="18">
        <f t="shared" si="19"/>
        <v>3.3305555555555557</v>
      </c>
      <c r="S40" s="26">
        <v>17</v>
      </c>
      <c r="T40" s="26">
        <v>8</v>
      </c>
      <c r="U40" s="15">
        <f t="shared" si="20"/>
        <v>-9</v>
      </c>
      <c r="V40" s="26">
        <v>320</v>
      </c>
      <c r="W40" s="15">
        <f t="shared" si="21"/>
        <v>24431</v>
      </c>
      <c r="X40" s="8">
        <f t="shared" si="22"/>
        <v>329</v>
      </c>
      <c r="Y40" s="15">
        <f t="shared" si="23"/>
        <v>24415</v>
      </c>
      <c r="Z40" s="15">
        <f t="shared" si="24"/>
        <v>-9</v>
      </c>
      <c r="AA40" s="26">
        <v>70</v>
      </c>
      <c r="AB40" s="26"/>
      <c r="AC40" s="27"/>
      <c r="AD40" s="26"/>
      <c r="AE40" s="27"/>
      <c r="AF40" s="27"/>
      <c r="AG40" s="27"/>
      <c r="AH40" s="16">
        <f t="shared" si="25"/>
        <v>0</v>
      </c>
    </row>
    <row r="41" spans="1:34" ht="13">
      <c r="A41" s="28" t="s">
        <v>6</v>
      </c>
      <c r="B41" s="56"/>
      <c r="C41" s="57"/>
      <c r="D41" s="57"/>
      <c r="E41" s="58"/>
      <c r="F41" s="48">
        <f>SUM(F4:F40)</f>
        <v>2925</v>
      </c>
      <c r="G41" s="19">
        <f>SUM(G40)</f>
        <v>2925</v>
      </c>
      <c r="H41" s="19">
        <f>SUM(H40)</f>
        <v>79</v>
      </c>
      <c r="I41" s="19">
        <f>SUM(I40)</f>
        <v>86</v>
      </c>
      <c r="J41" s="20">
        <f>SUM(J4:J40)</f>
        <v>6.9020833333333345</v>
      </c>
      <c r="K41" s="34">
        <f>F41/SUM(HOUR(J41)+(ROUNDDOWN(J41,0)*24),PRODUCT(MINUTE(J41)/60))</f>
        <v>17.657712043465136</v>
      </c>
      <c r="L41" s="39">
        <f>SUM(L4:L40)/COUNT(F4:F40)</f>
        <v>17.708823529411767</v>
      </c>
      <c r="M41" s="41">
        <f>PRODUCT(SUM(M4:M40),1/COUNT(M4:M40))</f>
        <v>36.699999999999989</v>
      </c>
      <c r="N41" s="20">
        <f>SUM(N4:N40)</f>
        <v>10.232638888888888</v>
      </c>
      <c r="O41" s="34">
        <f>F41/SUM(HOUR(N41)+(ROUNDDOWN(N41,0)*24),PRODUCT(MINUTE(N41)/60))</f>
        <v>11.910417373600271</v>
      </c>
      <c r="P41" s="39">
        <f>SUM(P4:P40)/COUNT(F4:F40)</f>
        <v>12.258823529411767</v>
      </c>
      <c r="Q41" s="20">
        <f>SUM(Q4:Q40)</f>
        <v>3.3305555555555557</v>
      </c>
      <c r="R41" s="19"/>
      <c r="S41" s="19">
        <f>ROUND(SUM(S4:S40)/COUNT(S4:S40),0)</f>
        <v>105</v>
      </c>
      <c r="T41" s="19">
        <f>ROUND(SUM(T4:T40)/COUNT(T4:T40),0)</f>
        <v>105</v>
      </c>
      <c r="U41" s="21">
        <f>SUM(U4:U40)</f>
        <v>16</v>
      </c>
      <c r="V41" s="19">
        <f>ROUND(SUM(V4:V40)/COUNT(V4:V40),0)</f>
        <v>719</v>
      </c>
      <c r="W41" s="19">
        <f>SUM(W40)</f>
        <v>24431</v>
      </c>
      <c r="X41" s="19">
        <f>ROUND(SUM(X4:X40)/COUNT(V4:V40),0)</f>
        <v>718</v>
      </c>
      <c r="Y41" s="19">
        <f>SUM(Y40)</f>
        <v>24415</v>
      </c>
      <c r="Z41" s="21">
        <f>SUM(Z4:Z40)</f>
        <v>16</v>
      </c>
      <c r="AA41" s="19">
        <f>ROUND(SUM(AA4:AA40)/COUNT(AA4:AA40),0)</f>
        <v>167</v>
      </c>
      <c r="AB41" s="33" t="e">
        <f t="shared" ref="AB41:AG41" si="26">SUM(AB4:AB40)/COUNT(AB4:AB40)</f>
        <v>#DIV/0!</v>
      </c>
      <c r="AC41" s="33" t="e">
        <f t="shared" si="26"/>
        <v>#DIV/0!</v>
      </c>
      <c r="AD41" s="33" t="e">
        <f t="shared" si="26"/>
        <v>#DIV/0!</v>
      </c>
      <c r="AE41" s="33" t="e">
        <f t="shared" si="26"/>
        <v>#DIV/0!</v>
      </c>
      <c r="AF41" s="33" t="e">
        <f t="shared" si="26"/>
        <v>#DIV/0!</v>
      </c>
      <c r="AG41" s="33" t="e">
        <f t="shared" si="26"/>
        <v>#DIV/0!</v>
      </c>
      <c r="AH41" s="33" t="e">
        <f>SUM(AH4:AH40)/COUNT(AG4:AG40)</f>
        <v>#DIV/0!</v>
      </c>
    </row>
    <row r="42" spans="1:34" ht="13">
      <c r="Q42" s="8"/>
      <c r="R42" s="8"/>
      <c r="S42" s="8"/>
      <c r="W42" s="15"/>
      <c r="Y42" s="15"/>
    </row>
    <row r="43" spans="1:34" ht="13">
      <c r="O43" s="8"/>
      <c r="P43" s="8"/>
      <c r="Q43" s="8"/>
      <c r="R43" s="29"/>
      <c r="S43" s="8"/>
      <c r="T43" s="8"/>
      <c r="U43" s="8"/>
      <c r="V43" s="8"/>
      <c r="W43" s="15"/>
      <c r="X43" s="8"/>
      <c r="Y43" s="15"/>
      <c r="Z43" s="8"/>
      <c r="AA43" s="8"/>
    </row>
    <row r="44" spans="1:34" ht="13">
      <c r="N44" s="38"/>
      <c r="O44" s="8"/>
      <c r="P44" s="8"/>
      <c r="Q44" s="37"/>
      <c r="R44" s="37"/>
      <c r="S44" s="8"/>
      <c r="T44" s="8"/>
      <c r="U44" s="8"/>
      <c r="V44" s="8"/>
      <c r="W44" s="8"/>
      <c r="X44" s="8"/>
      <c r="Y44" s="8"/>
      <c r="Z44" s="8"/>
      <c r="AA44" s="8"/>
    </row>
    <row r="45" spans="1:34" ht="13">
      <c r="O45" s="8"/>
      <c r="P45" s="8"/>
      <c r="Q45" s="37"/>
      <c r="R45" s="37"/>
      <c r="S45" s="8"/>
      <c r="T45" s="8"/>
      <c r="U45" s="8"/>
      <c r="V45" s="8"/>
      <c r="W45" s="8"/>
      <c r="X45" s="8"/>
      <c r="Y45" s="8"/>
      <c r="Z45" s="8"/>
      <c r="AA45" s="8"/>
    </row>
    <row r="46" spans="1:34" ht="13">
      <c r="O46" s="8"/>
      <c r="P46" s="8"/>
      <c r="Q46" s="8"/>
      <c r="R46" s="37"/>
      <c r="S46" s="8"/>
      <c r="T46" s="8"/>
      <c r="U46" s="8"/>
      <c r="V46" s="8"/>
      <c r="W46" s="8"/>
      <c r="X46" s="8"/>
      <c r="Y46" s="8"/>
      <c r="Z46" s="8"/>
      <c r="AA46" s="8"/>
    </row>
    <row r="47" spans="1:34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</sheetData>
  <mergeCells count="4">
    <mergeCell ref="A1:F1"/>
    <mergeCell ref="A2:F2"/>
    <mergeCell ref="G1:AH1"/>
    <mergeCell ref="B41:E4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CAB8-BB80-45AB-B319-C64479A3FE2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311F-D33D-40EE-9136-E630BB8B747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2025-01-29T11:29:37Z</cp:lastPrinted>
  <dcterms:created xsi:type="dcterms:W3CDTF">2001-02-09T16:25:48Z</dcterms:created>
  <dcterms:modified xsi:type="dcterms:W3CDTF">2025-11-12T19:56:08Z</dcterms:modified>
</cp:coreProperties>
</file>