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chris\Documents\V - My Sports\Bike\0000 Radstrecken\"/>
    </mc:Choice>
  </mc:AlternateContent>
  <xr:revisionPtr revIDLastSave="0" documentId="8_{D7B9BCF9-9820-4439-AB43-B15B1BE675BD}" xr6:coauthVersionLast="47" xr6:coauthVersionMax="47" xr10:uidLastSave="{00000000-0000-0000-0000-000000000000}"/>
  <bookViews>
    <workbookView xWindow="-110" yWindow="-110" windowWidth="19420" windowHeight="10420" xr2:uid="{1B97B779-ADE7-49AC-9AC6-BBB64541471B}"/>
  </bookViews>
  <sheets>
    <sheet name="Tabelle1" sheetId="1" r:id="rId1"/>
    <sheet name="Tabelle2" sheetId="2" r:id="rId2"/>
    <sheet name="Tabelle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22" i="1" l="1"/>
  <c r="W22" i="1"/>
  <c r="X21" i="1"/>
  <c r="Z21" i="1"/>
  <c r="U21" i="1"/>
  <c r="Q21" i="1"/>
  <c r="P21" i="1"/>
  <c r="L21" i="1"/>
  <c r="Z20" i="1"/>
  <c r="X20" i="1"/>
  <c r="U20" i="1"/>
  <c r="Q20" i="1"/>
  <c r="P20" i="1"/>
  <c r="L20" i="1"/>
  <c r="X19" i="1"/>
  <c r="Z19" i="1"/>
  <c r="U19" i="1"/>
  <c r="Q19" i="1"/>
  <c r="P19" i="1"/>
  <c r="L19" i="1"/>
  <c r="X18" i="1"/>
  <c r="Z18" i="1"/>
  <c r="U18" i="1"/>
  <c r="Q18" i="1"/>
  <c r="P18" i="1"/>
  <c r="L18" i="1"/>
  <c r="X17" i="1"/>
  <c r="Z17" i="1"/>
  <c r="U17" i="1"/>
  <c r="Q17" i="1"/>
  <c r="P17" i="1"/>
  <c r="L17" i="1"/>
  <c r="Z16" i="1"/>
  <c r="X16" i="1"/>
  <c r="U16" i="1"/>
  <c r="Q16" i="1"/>
  <c r="P16" i="1"/>
  <c r="L16" i="1"/>
  <c r="X15" i="1"/>
  <c r="Z15" i="1"/>
  <c r="U15" i="1"/>
  <c r="Q15" i="1"/>
  <c r="P15" i="1"/>
  <c r="L15" i="1"/>
  <c r="X14" i="1"/>
  <c r="Z14" i="1"/>
  <c r="U14" i="1"/>
  <c r="Q14" i="1"/>
  <c r="P14" i="1"/>
  <c r="L14" i="1"/>
  <c r="Z13" i="1"/>
  <c r="X13" i="1"/>
  <c r="U13" i="1"/>
  <c r="Q13" i="1"/>
  <c r="P13" i="1"/>
  <c r="L13" i="1"/>
  <c r="Z12" i="1"/>
  <c r="X12" i="1"/>
  <c r="U12" i="1"/>
  <c r="Q12" i="1"/>
  <c r="P12" i="1"/>
  <c r="L12" i="1"/>
  <c r="X11" i="1"/>
  <c r="Z11" i="1"/>
  <c r="U11" i="1"/>
  <c r="Q11" i="1"/>
  <c r="P11" i="1"/>
  <c r="L11" i="1"/>
  <c r="X10" i="1"/>
  <c r="Z10" i="1"/>
  <c r="U10" i="1"/>
  <c r="Q10" i="1"/>
  <c r="P10" i="1"/>
  <c r="L10" i="1"/>
  <c r="Z9" i="1"/>
  <c r="X9" i="1"/>
  <c r="U9" i="1"/>
  <c r="Q9" i="1"/>
  <c r="P9" i="1"/>
  <c r="L9" i="1"/>
  <c r="X8" i="1"/>
  <c r="Z8" i="1"/>
  <c r="U8" i="1"/>
  <c r="Q8" i="1"/>
  <c r="P8" i="1"/>
  <c r="L8" i="1"/>
  <c r="X7" i="1"/>
  <c r="Z7" i="1"/>
  <c r="U7" i="1"/>
  <c r="Q7" i="1"/>
  <c r="P7" i="1"/>
  <c r="L7" i="1"/>
  <c r="X6" i="1"/>
  <c r="Z6" i="1"/>
  <c r="U6" i="1"/>
  <c r="Q6" i="1"/>
  <c r="P6" i="1"/>
  <c r="L6" i="1"/>
  <c r="Z5" i="1"/>
  <c r="Y5" i="1"/>
  <c r="Y6" i="1"/>
  <c r="Y7" i="1"/>
  <c r="Y8" i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X5" i="1"/>
  <c r="U5" i="1"/>
  <c r="Q5" i="1"/>
  <c r="P5" i="1"/>
  <c r="L5" i="1"/>
  <c r="Y4" i="1"/>
  <c r="X4" i="1"/>
  <c r="Z4" i="1"/>
  <c r="W4" i="1"/>
  <c r="W5" i="1"/>
  <c r="W6" i="1"/>
  <c r="W7" i="1"/>
  <c r="W8" i="1"/>
  <c r="W9" i="1"/>
  <c r="W10" i="1"/>
  <c r="W11" i="1"/>
  <c r="W12" i="1"/>
  <c r="W13" i="1"/>
  <c r="W14" i="1"/>
  <c r="W15" i="1"/>
  <c r="W16" i="1"/>
  <c r="W17" i="1"/>
  <c r="W18" i="1"/>
  <c r="W19" i="1"/>
  <c r="W20" i="1"/>
  <c r="W21" i="1"/>
  <c r="U4" i="1"/>
  <c r="R4" i="1"/>
  <c r="R5" i="1"/>
  <c r="R6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Q4" i="1"/>
  <c r="P4" i="1"/>
  <c r="P22" i="1"/>
  <c r="O4" i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L4" i="1"/>
  <c r="L22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I4" i="1"/>
  <c r="G4" i="1"/>
  <c r="H4" i="1"/>
  <c r="AH4" i="1"/>
  <c r="AH22" i="1"/>
  <c r="AH5" i="1"/>
  <c r="U22" i="1"/>
  <c r="AH6" i="1"/>
  <c r="AH7" i="1"/>
  <c r="AH8" i="1"/>
  <c r="AH9" i="1"/>
  <c r="AH10" i="1"/>
  <c r="AH11" i="1"/>
  <c r="AH12" i="1"/>
  <c r="AH13" i="1"/>
  <c r="AH14" i="1"/>
  <c r="AH15" i="1"/>
  <c r="AH16" i="1"/>
  <c r="AH17" i="1"/>
  <c r="AH18" i="1"/>
  <c r="AH19" i="1"/>
  <c r="AH20" i="1"/>
  <c r="AH21" i="1"/>
  <c r="F22" i="1"/>
  <c r="K22" i="1"/>
  <c r="J22" i="1"/>
  <c r="M22" i="1"/>
  <c r="N22" i="1"/>
  <c r="O22" i="1"/>
  <c r="S22" i="1"/>
  <c r="T22" i="1"/>
  <c r="V22" i="1"/>
  <c r="X22" i="1"/>
  <c r="AA22" i="1"/>
  <c r="AB22" i="1"/>
  <c r="AC22" i="1"/>
  <c r="AD22" i="1"/>
  <c r="AE22" i="1"/>
  <c r="AF22" i="1"/>
  <c r="AG22" i="1"/>
  <c r="Q22" i="1"/>
  <c r="Z22" i="1"/>
  <c r="R20" i="1"/>
  <c r="R21" i="1"/>
  <c r="G5" i="1"/>
  <c r="I5" i="1"/>
  <c r="G6" i="1"/>
  <c r="H5" i="1"/>
  <c r="G7" i="1"/>
  <c r="I6" i="1"/>
  <c r="H6" i="1"/>
  <c r="H7" i="1"/>
  <c r="G8" i="1"/>
  <c r="I7" i="1"/>
  <c r="H8" i="1"/>
  <c r="I8" i="1"/>
  <c r="G9" i="1"/>
  <c r="I9" i="1"/>
  <c r="H9" i="1"/>
  <c r="G10" i="1"/>
  <c r="G11" i="1"/>
  <c r="I10" i="1"/>
  <c r="H10" i="1"/>
  <c r="H11" i="1"/>
  <c r="G12" i="1"/>
  <c r="I11" i="1"/>
  <c r="I12" i="1"/>
  <c r="H12" i="1"/>
  <c r="G13" i="1"/>
  <c r="I13" i="1"/>
  <c r="H13" i="1"/>
  <c r="G14" i="1"/>
  <c r="G15" i="1"/>
  <c r="I14" i="1"/>
  <c r="H14" i="1"/>
  <c r="H15" i="1"/>
  <c r="G16" i="1"/>
  <c r="I15" i="1"/>
  <c r="I16" i="1"/>
  <c r="H16" i="1"/>
  <c r="G17" i="1"/>
  <c r="I17" i="1"/>
  <c r="H17" i="1"/>
  <c r="G18" i="1"/>
  <c r="G19" i="1"/>
  <c r="I18" i="1"/>
  <c r="H18" i="1"/>
  <c r="H19" i="1"/>
  <c r="G20" i="1"/>
  <c r="I19" i="1"/>
  <c r="I20" i="1"/>
  <c r="H20" i="1"/>
  <c r="G21" i="1"/>
  <c r="G22" i="1"/>
  <c r="I21" i="1"/>
  <c r="I22" i="1"/>
  <c r="H21" i="1"/>
  <c r="H22" i="1"/>
</calcChain>
</file>

<file path=xl/sharedStrings.xml><?xml version="1.0" encoding="utf-8"?>
<sst xmlns="http://schemas.openxmlformats.org/spreadsheetml/2006/main" count="103" uniqueCount="79">
  <si>
    <t>Tag</t>
  </si>
  <si>
    <t>Datum</t>
  </si>
  <si>
    <t>Start</t>
  </si>
  <si>
    <t>Zwischenstationen</t>
  </si>
  <si>
    <t>Ziel</t>
  </si>
  <si>
    <t>10.</t>
  </si>
  <si>
    <t>Summe</t>
  </si>
  <si>
    <t>11.</t>
  </si>
  <si>
    <t>Fahrzeit</t>
  </si>
  <si>
    <t>Höhe Beginn</t>
  </si>
  <si>
    <t>Höhe Ende</t>
  </si>
  <si>
    <t>Max. Höhe</t>
  </si>
  <si>
    <t>Hm aufw</t>
  </si>
  <si>
    <t>Hm abw</t>
  </si>
  <si>
    <t>Gesamtzeit</t>
  </si>
  <si>
    <t>Pausenzeit</t>
  </si>
  <si>
    <t>Max.Temp.</t>
  </si>
  <si>
    <t xml:space="preserve">Min.Temp. </t>
  </si>
  <si>
    <t>Ø Steigung</t>
  </si>
  <si>
    <t>max.Steigung</t>
  </si>
  <si>
    <t>Ø Gefälle</t>
  </si>
  <si>
    <t>max.Gefälle</t>
  </si>
  <si>
    <t>km</t>
  </si>
  <si>
    <t>km/Tag</t>
  </si>
  <si>
    <t>km/Fahrtag</t>
  </si>
  <si>
    <t>max. km/h</t>
  </si>
  <si>
    <t>Σ km</t>
  </si>
  <si>
    <t>Σ Hm aufw</t>
  </si>
  <si>
    <t>Δ Temp.</t>
  </si>
  <si>
    <t>Σ Hm abw</t>
  </si>
  <si>
    <t>Δ Hmauf-abw</t>
  </si>
  <si>
    <t>Δ Beg./Ende</t>
  </si>
  <si>
    <t>Σ Fahrzeit</t>
  </si>
  <si>
    <t>Σ Gesamtzeit</t>
  </si>
  <si>
    <t>Σ Pausenzeit</t>
  </si>
  <si>
    <t>12.</t>
  </si>
  <si>
    <t>13.</t>
  </si>
  <si>
    <t>14.</t>
  </si>
  <si>
    <t>15.</t>
  </si>
  <si>
    <t>km/h brutto</t>
  </si>
  <si>
    <t>km/h netto</t>
  </si>
  <si>
    <t>16.</t>
  </si>
  <si>
    <t>17.</t>
  </si>
  <si>
    <t>18.</t>
  </si>
  <si>
    <t>1.</t>
  </si>
  <si>
    <t>Denkendorf</t>
  </si>
  <si>
    <t xml:space="preserve">Wendlingen - Tübingen </t>
  </si>
  <si>
    <t>Rottenburg</t>
  </si>
  <si>
    <t>2.</t>
  </si>
  <si>
    <t>Pforzheim</t>
  </si>
  <si>
    <t>Vaihingen - Bietigheim-Bissingen</t>
  </si>
  <si>
    <t>Besigheim</t>
  </si>
  <si>
    <t>3.</t>
  </si>
  <si>
    <r>
      <rPr>
        <sz val="10"/>
        <rFont val="Arial"/>
        <family val="2"/>
      </rPr>
      <t xml:space="preserve">Benningen - Stuttgart - </t>
    </r>
    <r>
      <rPr>
        <i/>
        <sz val="10"/>
        <rFont val="Arial"/>
        <family val="2"/>
      </rPr>
      <t>U-Bahn</t>
    </r>
    <r>
      <rPr>
        <sz val="10"/>
        <rFont val="Arial"/>
        <family val="2"/>
      </rPr>
      <t xml:space="preserve"> - Nellingen</t>
    </r>
  </si>
  <si>
    <t>4.</t>
  </si>
  <si>
    <t>Mainz</t>
  </si>
  <si>
    <t xml:space="preserve">Bingen </t>
  </si>
  <si>
    <t>5.</t>
  </si>
  <si>
    <t>6.</t>
  </si>
  <si>
    <r>
      <t xml:space="preserve">Nieder-Olm - Udenheim - Nieder-Olm </t>
    </r>
    <r>
      <rPr>
        <i/>
        <sz val="10"/>
        <rFont val="Arial"/>
        <family val="2"/>
      </rPr>
      <t xml:space="preserve">- Zug </t>
    </r>
  </si>
  <si>
    <t>7.</t>
  </si>
  <si>
    <t>8.</t>
  </si>
  <si>
    <t>Wiesbaden</t>
  </si>
  <si>
    <t>9.</t>
  </si>
  <si>
    <r>
      <rPr>
        <i/>
        <sz val="10"/>
        <rFont val="Arial"/>
        <family val="2"/>
      </rPr>
      <t xml:space="preserve">Zug </t>
    </r>
    <r>
      <rPr>
        <sz val="10"/>
        <rFont val="Arial"/>
        <family val="2"/>
      </rPr>
      <t>- Worms - Frankenthal - Ludwigshafen</t>
    </r>
  </si>
  <si>
    <t>Speyer</t>
  </si>
  <si>
    <t>Karlsruhe - Pforzheim - Calw</t>
  </si>
  <si>
    <t>Deckenpfronn</t>
  </si>
  <si>
    <r>
      <t xml:space="preserve">Böblingen - Denkendorf - Esslingen - </t>
    </r>
    <r>
      <rPr>
        <i/>
        <sz val="10"/>
        <rFont val="Arial"/>
        <family val="2"/>
      </rPr>
      <t>Zug</t>
    </r>
  </si>
  <si>
    <t>Wackernheim - Heidenfahrt</t>
  </si>
  <si>
    <t>Ginsheim-Gustavsburg</t>
  </si>
  <si>
    <r>
      <t xml:space="preserve">Nieder-Olm - Worms </t>
    </r>
    <r>
      <rPr>
        <i/>
        <sz val="10"/>
        <rFont val="Arial"/>
        <family val="2"/>
      </rPr>
      <t xml:space="preserve">- Zug </t>
    </r>
  </si>
  <si>
    <t xml:space="preserve">Zug </t>
  </si>
  <si>
    <t>Essen</t>
  </si>
  <si>
    <t>Ratingen - Düsseldorf</t>
  </si>
  <si>
    <t>Monheim</t>
  </si>
  <si>
    <t>Köln-Deutz - Bonn - Koblenz - Bingen</t>
  </si>
  <si>
    <t>Essen - Rottenburg (1.-18.5.2025)</t>
  </si>
  <si>
    <r>
      <t>Statistik</t>
    </r>
    <r>
      <rPr>
        <b/>
        <sz val="20"/>
        <rFont val="Arial"/>
        <family val="2"/>
      </rPr>
      <t xml:space="preserve"> Essen - Rottenburg (1.-18.5.2025)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</si>
</sst>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5" formatCode="[h]:mm"/>
    <numFmt numFmtId="188" formatCode="0.0"/>
  </numFmts>
  <fonts count="10">
    <font>
      <sz val="10"/>
      <name val="Arial"/>
    </font>
    <font>
      <b/>
      <sz val="10"/>
      <name val="Arial"/>
      <family val="2"/>
    </font>
    <font>
      <b/>
      <i/>
      <sz val="10"/>
      <name val="Arial"/>
      <family val="2"/>
    </font>
    <font>
      <b/>
      <sz val="20"/>
      <name val="Arial"/>
      <family val="2"/>
    </font>
    <font>
      <sz val="10"/>
      <name val="Arial"/>
      <family val="2"/>
    </font>
    <font>
      <b/>
      <sz val="9"/>
      <name val="Times New Roman"/>
      <family val="1"/>
    </font>
    <font>
      <b/>
      <sz val="8"/>
      <name val="Times New Roman"/>
      <family val="1"/>
    </font>
    <font>
      <b/>
      <sz val="9"/>
      <name val="WP CyrillicA"/>
    </font>
    <font>
      <i/>
      <sz val="10"/>
      <name val="Arial"/>
      <family val="2"/>
    </font>
    <font>
      <b/>
      <i/>
      <sz val="2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5" fillId="0" borderId="0" xfId="0" applyFont="1" applyBorder="1" applyAlignment="1">
      <alignment vertical="top" wrapText="1"/>
    </xf>
    <xf numFmtId="0" fontId="6" fillId="0" borderId="0" xfId="0" applyFont="1" applyBorder="1" applyAlignment="1">
      <alignment vertical="top" wrapText="1"/>
    </xf>
    <xf numFmtId="0" fontId="6" fillId="0" borderId="0" xfId="0" applyFont="1" applyBorder="1" applyAlignment="1">
      <alignment wrapText="1"/>
    </xf>
    <xf numFmtId="0" fontId="7" fillId="0" borderId="0" xfId="0" applyFont="1" applyBorder="1" applyAlignment="1">
      <alignment wrapText="1"/>
    </xf>
    <xf numFmtId="0" fontId="0" fillId="0" borderId="0" xfId="0" applyBorder="1"/>
    <xf numFmtId="21" fontId="5" fillId="0" borderId="0" xfId="0" applyNumberFormat="1" applyFont="1" applyBorder="1" applyAlignment="1">
      <alignment vertical="top" wrapText="1"/>
    </xf>
    <xf numFmtId="0" fontId="0" fillId="0" borderId="2" xfId="0" applyBorder="1"/>
    <xf numFmtId="0" fontId="0" fillId="0" borderId="3" xfId="0" applyBorder="1"/>
    <xf numFmtId="0" fontId="8" fillId="0" borderId="3" xfId="0" applyFont="1" applyBorder="1"/>
    <xf numFmtId="0" fontId="8" fillId="0" borderId="4" xfId="0" applyFont="1" applyBorder="1"/>
    <xf numFmtId="0" fontId="0" fillId="0" borderId="5" xfId="0" applyBorder="1"/>
    <xf numFmtId="0" fontId="8" fillId="0" borderId="0" xfId="0" applyFont="1" applyBorder="1"/>
    <xf numFmtId="0" fontId="8" fillId="0" borderId="6" xfId="0" applyFont="1" applyBorder="1"/>
    <xf numFmtId="185" fontId="8" fillId="0" borderId="3" xfId="0" applyNumberFormat="1" applyFont="1" applyBorder="1"/>
    <xf numFmtId="0" fontId="1" fillId="0" borderId="1" xfId="0" applyFont="1" applyBorder="1"/>
    <xf numFmtId="185" fontId="1" fillId="0" borderId="1" xfId="0" applyNumberFormat="1" applyFont="1" applyBorder="1"/>
    <xf numFmtId="0" fontId="1" fillId="0" borderId="1" xfId="0" applyFont="1" applyFill="1" applyBorder="1"/>
    <xf numFmtId="0" fontId="2" fillId="0" borderId="1" xfId="0" applyFont="1" applyBorder="1" applyAlignment="1">
      <alignment textRotation="90"/>
    </xf>
    <xf numFmtId="0" fontId="2" fillId="0" borderId="1" xfId="0" applyFont="1" applyFill="1" applyBorder="1" applyAlignment="1">
      <alignment textRotation="90"/>
    </xf>
    <xf numFmtId="0" fontId="2" fillId="0" borderId="1" xfId="0" applyFont="1" applyBorder="1" applyAlignment="1">
      <alignment textRotation="90" wrapText="1"/>
    </xf>
    <xf numFmtId="0" fontId="2" fillId="0" borderId="1" xfId="0" applyFont="1" applyFill="1" applyBorder="1" applyAlignment="1">
      <alignment textRotation="90" wrapText="1"/>
    </xf>
    <xf numFmtId="0" fontId="0" fillId="0" borderId="0" xfId="0" applyFill="1" applyBorder="1"/>
    <xf numFmtId="0" fontId="8" fillId="0" borderId="0" xfId="0" applyFont="1" applyFill="1" applyBorder="1"/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right" vertical="center" wrapText="1"/>
    </xf>
    <xf numFmtId="0" fontId="1" fillId="0" borderId="0" xfId="0" applyFont="1" applyBorder="1"/>
    <xf numFmtId="188" fontId="0" fillId="0" borderId="3" xfId="0" applyNumberFormat="1" applyBorder="1"/>
    <xf numFmtId="1" fontId="1" fillId="0" borderId="1" xfId="0" applyNumberFormat="1" applyFont="1" applyFill="1" applyBorder="1"/>
    <xf numFmtId="188" fontId="1" fillId="0" borderId="1" xfId="0" applyNumberFormat="1" applyFont="1" applyBorder="1"/>
    <xf numFmtId="185" fontId="0" fillId="0" borderId="3" xfId="0" applyNumberFormat="1" applyBorder="1"/>
    <xf numFmtId="188" fontId="1" fillId="0" borderId="0" xfId="0" applyNumberFormat="1" applyFont="1" applyBorder="1"/>
    <xf numFmtId="1" fontId="0" fillId="0" borderId="0" xfId="0" applyNumberFormat="1"/>
    <xf numFmtId="188" fontId="4" fillId="0" borderId="1" xfId="0" applyNumberFormat="1" applyFont="1" applyFill="1" applyBorder="1"/>
    <xf numFmtId="188" fontId="1" fillId="0" borderId="1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left" vertical="center" wrapText="1"/>
    </xf>
    <xf numFmtId="188" fontId="8" fillId="0" borderId="0" xfId="0" applyNumberFormat="1" applyFont="1"/>
    <xf numFmtId="185" fontId="0" fillId="0" borderId="0" xfId="0" applyNumberFormat="1"/>
    <xf numFmtId="185" fontId="8" fillId="0" borderId="0" xfId="0" applyNumberFormat="1" applyFont="1"/>
    <xf numFmtId="188" fontId="0" fillId="0" borderId="0" xfId="0" applyNumberFormat="1"/>
    <xf numFmtId="0" fontId="8" fillId="0" borderId="0" xfId="0" applyFont="1"/>
    <xf numFmtId="0" fontId="8" fillId="0" borderId="1" xfId="0" applyFont="1" applyBorder="1" applyAlignment="1">
      <alignment horizontal="center" vertical="center" wrapText="1"/>
    </xf>
    <xf numFmtId="185" fontId="4" fillId="0" borderId="0" xfId="0" applyNumberFormat="1" applyFont="1"/>
    <xf numFmtId="0" fontId="3" fillId="0" borderId="7" xfId="0" applyFont="1" applyBorder="1" applyAlignment="1">
      <alignment horizontal="left" wrapText="1"/>
    </xf>
    <xf numFmtId="0" fontId="3" fillId="0" borderId="8" xfId="0" applyFont="1" applyBorder="1" applyAlignment="1">
      <alignment horizontal="left" wrapText="1"/>
    </xf>
    <xf numFmtId="0" fontId="3" fillId="0" borderId="9" xfId="0" applyFont="1" applyBorder="1" applyAlignment="1">
      <alignment horizontal="left" wrapText="1"/>
    </xf>
    <xf numFmtId="0" fontId="0" fillId="0" borderId="8" xfId="0" applyBorder="1" applyAlignment="1"/>
    <xf numFmtId="0" fontId="9" fillId="0" borderId="7" xfId="0" applyFont="1" applyBorder="1" applyAlignment="1"/>
    <xf numFmtId="0" fontId="3" fillId="0" borderId="8" xfId="0" applyFont="1" applyBorder="1" applyAlignment="1"/>
    <xf numFmtId="0" fontId="3" fillId="0" borderId="9" xfId="0" applyFont="1" applyBorder="1" applyAlignment="1"/>
    <xf numFmtId="14" fontId="4" fillId="0" borderId="7" xfId="0" applyNumberFormat="1" applyFont="1" applyBorder="1" applyAlignment="1">
      <alignment horizontal="center" vertical="top"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4C58B-E9E7-46C4-B4CD-2EB857706291}">
  <sheetPr codeName="Tabelle1"/>
  <dimension ref="A1:AH28"/>
  <sheetViews>
    <sheetView tabSelected="1" zoomScaleNormal="100" workbookViewId="0">
      <selection sqref="A1:F1"/>
    </sheetView>
  </sheetViews>
  <sheetFormatPr baseColWidth="10" defaultRowHeight="12.5"/>
  <cols>
    <col min="1" max="1" width="11.36328125" customWidth="1"/>
    <col min="2" max="2" width="15.36328125" customWidth="1"/>
    <col min="3" max="3" width="23.90625" customWidth="1"/>
    <col min="4" max="4" width="60.36328125" customWidth="1"/>
    <col min="5" max="5" width="24.453125" customWidth="1"/>
    <col min="6" max="7" width="6.453125" customWidth="1"/>
    <col min="8" max="8" width="4.36328125" customWidth="1"/>
    <col min="9" max="9" width="3.6328125" customWidth="1"/>
    <col min="10" max="10" width="6.36328125" customWidth="1"/>
    <col min="11" max="11" width="6.54296875" customWidth="1"/>
    <col min="12" max="12" width="5.54296875" customWidth="1"/>
    <col min="13" max="13" width="5.453125" customWidth="1"/>
    <col min="14" max="14" width="6.54296875" customWidth="1"/>
    <col min="15" max="16" width="6.6328125" customWidth="1"/>
    <col min="17" max="17" width="6.54296875" customWidth="1"/>
    <col min="18" max="18" width="7.08984375" customWidth="1"/>
    <col min="19" max="20" width="6.08984375" customWidth="1"/>
    <col min="21" max="21" width="5.54296875" customWidth="1"/>
    <col min="22" max="22" width="4.90625" customWidth="1"/>
    <col min="23" max="23" width="6.36328125" customWidth="1"/>
    <col min="24" max="24" width="5.90625" customWidth="1"/>
    <col min="25" max="25" width="6.08984375" customWidth="1"/>
    <col min="26" max="26" width="5.6328125" customWidth="1"/>
    <col min="27" max="27" width="6.453125" customWidth="1"/>
    <col min="28" max="28" width="2.90625" customWidth="1"/>
    <col min="29" max="29" width="4" customWidth="1"/>
    <col min="30" max="30" width="3.453125" customWidth="1"/>
    <col min="31" max="31" width="3.36328125" customWidth="1"/>
    <col min="32" max="33" width="3.08984375" customWidth="1"/>
    <col min="34" max="34" width="3.54296875" customWidth="1"/>
  </cols>
  <sheetData>
    <row r="1" spans="1:34" ht="26.25" customHeight="1">
      <c r="A1" s="49" t="s">
        <v>77</v>
      </c>
      <c r="B1" s="50"/>
      <c r="C1" s="50"/>
      <c r="D1" s="50"/>
      <c r="E1" s="50"/>
      <c r="F1" s="51"/>
      <c r="G1" s="53" t="s">
        <v>78</v>
      </c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5"/>
    </row>
    <row r="2" spans="1:34">
      <c r="A2" s="52"/>
      <c r="B2" s="52"/>
      <c r="C2" s="52"/>
      <c r="D2" s="52"/>
      <c r="E2" s="52"/>
      <c r="F2" s="52"/>
      <c r="G2" s="4"/>
      <c r="H2" s="5"/>
      <c r="I2" s="5"/>
      <c r="J2" s="5"/>
      <c r="K2" s="5"/>
      <c r="L2" s="5"/>
      <c r="M2" s="5"/>
      <c r="N2" s="4"/>
      <c r="O2" s="4"/>
      <c r="P2" s="4"/>
      <c r="Q2" s="4"/>
      <c r="R2" s="9"/>
      <c r="S2" s="4"/>
      <c r="T2" s="4"/>
      <c r="U2" s="6"/>
      <c r="V2" s="6"/>
      <c r="W2" s="6"/>
      <c r="X2" s="7"/>
      <c r="Y2" s="6"/>
      <c r="Z2" s="8"/>
      <c r="AA2" s="8"/>
      <c r="AB2" s="8"/>
      <c r="AC2" s="8"/>
      <c r="AD2" s="8"/>
    </row>
    <row r="3" spans="1:34" ht="72.5">
      <c r="A3" s="1" t="s">
        <v>0</v>
      </c>
      <c r="B3" s="1" t="s">
        <v>1</v>
      </c>
      <c r="C3" s="2" t="s">
        <v>2</v>
      </c>
      <c r="D3" s="1" t="s">
        <v>3</v>
      </c>
      <c r="E3" s="3" t="s">
        <v>4</v>
      </c>
      <c r="F3" s="2" t="s">
        <v>22</v>
      </c>
      <c r="G3" s="21" t="s">
        <v>26</v>
      </c>
      <c r="H3" s="21" t="s">
        <v>23</v>
      </c>
      <c r="I3" s="21" t="s">
        <v>24</v>
      </c>
      <c r="J3" s="21" t="s">
        <v>8</v>
      </c>
      <c r="K3" s="22" t="s">
        <v>32</v>
      </c>
      <c r="L3" s="21" t="s">
        <v>40</v>
      </c>
      <c r="M3" s="21" t="s">
        <v>25</v>
      </c>
      <c r="N3" s="21" t="s">
        <v>14</v>
      </c>
      <c r="O3" s="22" t="s">
        <v>33</v>
      </c>
      <c r="P3" s="21" t="s">
        <v>39</v>
      </c>
      <c r="Q3" s="21" t="s">
        <v>15</v>
      </c>
      <c r="R3" s="22" t="s">
        <v>34</v>
      </c>
      <c r="S3" s="21" t="s">
        <v>9</v>
      </c>
      <c r="T3" s="21" t="s">
        <v>10</v>
      </c>
      <c r="U3" s="21" t="s">
        <v>31</v>
      </c>
      <c r="V3" s="21" t="s">
        <v>12</v>
      </c>
      <c r="W3" s="22" t="s">
        <v>27</v>
      </c>
      <c r="X3" s="21" t="s">
        <v>13</v>
      </c>
      <c r="Y3" s="22" t="s">
        <v>29</v>
      </c>
      <c r="Z3" s="22" t="s">
        <v>30</v>
      </c>
      <c r="AA3" s="21" t="s">
        <v>11</v>
      </c>
      <c r="AB3" s="23" t="s">
        <v>18</v>
      </c>
      <c r="AC3" s="23" t="s">
        <v>19</v>
      </c>
      <c r="AD3" s="23" t="s">
        <v>20</v>
      </c>
      <c r="AE3" s="23" t="s">
        <v>21</v>
      </c>
      <c r="AF3" s="24" t="s">
        <v>17</v>
      </c>
      <c r="AG3" s="24" t="s">
        <v>16</v>
      </c>
      <c r="AH3" s="24" t="s">
        <v>28</v>
      </c>
    </row>
    <row r="4" spans="1:34" ht="13">
      <c r="A4" s="38" t="s">
        <v>44</v>
      </c>
      <c r="B4" s="39">
        <v>45778</v>
      </c>
      <c r="C4" s="40" t="s">
        <v>45</v>
      </c>
      <c r="D4" s="38" t="s">
        <v>46</v>
      </c>
      <c r="E4" s="41" t="s">
        <v>47</v>
      </c>
      <c r="F4" s="40">
        <v>60</v>
      </c>
      <c r="G4" s="10">
        <f>SUM(F4)</f>
        <v>60</v>
      </c>
      <c r="H4" s="11">
        <f>ROUND(PRODUCT(G4/1),0)</f>
        <v>60</v>
      </c>
      <c r="I4" s="11">
        <f>ROUND(PRODUCT(G4/COUNT(F4:F4)),0)</f>
        <v>60</v>
      </c>
      <c r="J4" s="33">
        <v>0.16666666666666666</v>
      </c>
      <c r="K4" s="17">
        <f>SUM(J4)</f>
        <v>0.16666666666666666</v>
      </c>
      <c r="L4" s="42">
        <f t="shared" ref="L4:L21" si="0">IF(F4=0,0,ROUND(PRODUCT(F4/SUM(HOUR(J4),PRODUCT(MINUTE(J4)/60))),1))</f>
        <v>15</v>
      </c>
      <c r="M4" s="30">
        <v>55.5</v>
      </c>
      <c r="N4" s="33">
        <v>0.30625000000000002</v>
      </c>
      <c r="O4" s="17">
        <f>SUM(N4)</f>
        <v>0.30625000000000002</v>
      </c>
      <c r="P4" s="42">
        <f t="shared" ref="P4:P21" si="1">IF(F4=0,0,ROUND(PRODUCT(F4/SUM(HOUR(N4),PRODUCT(MINUTE(N4)/60))),1))</f>
        <v>8.1999999999999993</v>
      </c>
      <c r="Q4" s="17">
        <f t="shared" ref="Q4:Q21" si="2">SUM(N4,-J4)</f>
        <v>0.13958333333333336</v>
      </c>
      <c r="R4" s="17">
        <f>SUM(Q4)</f>
        <v>0.13958333333333336</v>
      </c>
      <c r="S4" s="11">
        <v>320</v>
      </c>
      <c r="T4">
        <v>375</v>
      </c>
      <c r="U4" s="12">
        <f>SUM(-S4,T4)</f>
        <v>55</v>
      </c>
      <c r="V4" s="11">
        <v>369</v>
      </c>
      <c r="W4" s="12">
        <f>SUM(V4)</f>
        <v>369</v>
      </c>
      <c r="X4" s="11">
        <f t="shared" ref="X4:X21" si="3">SUM(S4,-T4,V4)</f>
        <v>314</v>
      </c>
      <c r="Y4" s="12">
        <f>SUM(X4)</f>
        <v>314</v>
      </c>
      <c r="Z4" s="12">
        <f t="shared" ref="Z4:Z21" si="4">SUM(V4,-X4)</f>
        <v>55</v>
      </c>
      <c r="AA4" s="11">
        <v>375</v>
      </c>
      <c r="AB4" s="11"/>
      <c r="AC4" s="11"/>
      <c r="AD4" s="11"/>
      <c r="AE4" s="11"/>
      <c r="AF4" s="11"/>
      <c r="AG4" s="11"/>
      <c r="AH4" s="13">
        <f>SUM(AG4,-AF4)</f>
        <v>0</v>
      </c>
    </row>
    <row r="5" spans="1:34" ht="13">
      <c r="A5" s="38" t="s">
        <v>48</v>
      </c>
      <c r="B5" s="39">
        <v>45779</v>
      </c>
      <c r="C5" s="40" t="s">
        <v>49</v>
      </c>
      <c r="D5" s="38" t="s">
        <v>50</v>
      </c>
      <c r="E5" s="41" t="s">
        <v>51</v>
      </c>
      <c r="F5" s="40">
        <v>65</v>
      </c>
      <c r="G5" s="14">
        <f>SUM(G4,F5)</f>
        <v>125</v>
      </c>
      <c r="H5">
        <f>ROUND(PRODUCT(G5/2),0)</f>
        <v>63</v>
      </c>
      <c r="I5">
        <f>ROUND(PRODUCT(G5/COUNT(F4:F5)),0)</f>
        <v>63</v>
      </c>
      <c r="J5" s="43">
        <v>0.16666666666666666</v>
      </c>
      <c r="K5" s="44">
        <f t="shared" ref="K5:K21" si="5">SUM(J5,K4)</f>
        <v>0.33333333333333331</v>
      </c>
      <c r="L5" s="42">
        <f t="shared" si="0"/>
        <v>16.3</v>
      </c>
      <c r="M5" s="45">
        <v>30</v>
      </c>
      <c r="N5" s="43">
        <v>0.35416666666666669</v>
      </c>
      <c r="O5" s="44">
        <f t="shared" ref="O5:O21" si="6">SUM(N5,O4)</f>
        <v>0.66041666666666665</v>
      </c>
      <c r="P5" s="42">
        <f t="shared" si="1"/>
        <v>7.6</v>
      </c>
      <c r="Q5" s="44">
        <f t="shared" si="2"/>
        <v>0.18750000000000003</v>
      </c>
      <c r="R5" s="44">
        <f>SUM(Q5,R4)</f>
        <v>0.32708333333333339</v>
      </c>
      <c r="S5">
        <v>300</v>
      </c>
      <c r="T5">
        <v>230</v>
      </c>
      <c r="U5" s="46">
        <f>SUM(-S5,T5)</f>
        <v>-70</v>
      </c>
      <c r="V5">
        <v>227</v>
      </c>
      <c r="W5" s="46">
        <f t="shared" ref="W5:W21" si="7">SUM(W4,V5)</f>
        <v>596</v>
      </c>
      <c r="X5">
        <f t="shared" si="3"/>
        <v>297</v>
      </c>
      <c r="Y5" s="46">
        <f>SUM(Y4,X5)</f>
        <v>611</v>
      </c>
      <c r="Z5" s="46">
        <f t="shared" si="4"/>
        <v>-70</v>
      </c>
      <c r="AA5">
        <v>300</v>
      </c>
      <c r="AB5" s="8"/>
      <c r="AC5" s="26"/>
      <c r="AD5" s="25"/>
      <c r="AE5" s="26"/>
      <c r="AF5" s="26"/>
      <c r="AG5" s="26"/>
      <c r="AH5" s="16">
        <f>SUM(AG5,-AF5)</f>
        <v>0</v>
      </c>
    </row>
    <row r="6" spans="1:34" ht="13">
      <c r="A6" s="38" t="s">
        <v>52</v>
      </c>
      <c r="B6" s="39">
        <v>45780</v>
      </c>
      <c r="C6" s="40" t="s">
        <v>51</v>
      </c>
      <c r="D6" s="47" t="s">
        <v>53</v>
      </c>
      <c r="E6" s="41" t="s">
        <v>45</v>
      </c>
      <c r="F6" s="40">
        <v>58</v>
      </c>
      <c r="G6" s="14">
        <f t="shared" ref="G6:G21" si="8">SUM(G5,F6)</f>
        <v>183</v>
      </c>
      <c r="H6">
        <f>ROUND(PRODUCT(G6/3),0)</f>
        <v>61</v>
      </c>
      <c r="I6">
        <f>ROUND(PRODUCT(G6/COUNT(F4:F6)),0)</f>
        <v>61</v>
      </c>
      <c r="J6" s="48">
        <v>0.15625</v>
      </c>
      <c r="K6" s="44">
        <f t="shared" si="5"/>
        <v>0.48958333333333331</v>
      </c>
      <c r="L6" s="42">
        <f t="shared" si="0"/>
        <v>15.5</v>
      </c>
      <c r="M6" s="45">
        <v>42.6</v>
      </c>
      <c r="N6" s="43">
        <v>0.27083333333333331</v>
      </c>
      <c r="O6" s="44">
        <f t="shared" si="6"/>
        <v>0.93124999999999991</v>
      </c>
      <c r="P6" s="42">
        <f t="shared" si="1"/>
        <v>8.9</v>
      </c>
      <c r="Q6" s="44">
        <f t="shared" si="2"/>
        <v>0.11458333333333331</v>
      </c>
      <c r="R6" s="44">
        <f t="shared" ref="R6:R21" si="9">SUM(Q6,R5)</f>
        <v>0.44166666666666671</v>
      </c>
      <c r="S6">
        <v>230</v>
      </c>
      <c r="T6">
        <v>320</v>
      </c>
      <c r="U6" s="46">
        <f t="shared" ref="U6:U21" si="10">SUM(-S6,T6)</f>
        <v>90</v>
      </c>
      <c r="V6">
        <v>396</v>
      </c>
      <c r="W6" s="46">
        <f t="shared" si="7"/>
        <v>992</v>
      </c>
      <c r="X6">
        <f t="shared" si="3"/>
        <v>306</v>
      </c>
      <c r="Y6" s="46">
        <f t="shared" ref="Y6:Y21" si="11">SUM(Y5,X6)</f>
        <v>917</v>
      </c>
      <c r="Z6" s="46">
        <f t="shared" si="4"/>
        <v>90</v>
      </c>
      <c r="AA6">
        <v>330</v>
      </c>
      <c r="AB6" s="8"/>
      <c r="AC6" s="26"/>
      <c r="AD6" s="25"/>
      <c r="AE6" s="26"/>
      <c r="AF6" s="26"/>
      <c r="AG6" s="26"/>
      <c r="AH6" s="16">
        <f t="shared" ref="AH6:AH21" si="12">SUM(AG6,-AF6)</f>
        <v>0</v>
      </c>
    </row>
    <row r="7" spans="1:34" ht="13">
      <c r="A7" s="38" t="s">
        <v>54</v>
      </c>
      <c r="B7" s="39">
        <v>45781</v>
      </c>
      <c r="C7" s="40" t="s">
        <v>55</v>
      </c>
      <c r="D7" s="38" t="s">
        <v>56</v>
      </c>
      <c r="E7" s="41" t="s">
        <v>55</v>
      </c>
      <c r="F7" s="40">
        <v>59</v>
      </c>
      <c r="G7" s="14">
        <f t="shared" si="8"/>
        <v>242</v>
      </c>
      <c r="H7">
        <f>ROUND(PRODUCT(G7/4),0)</f>
        <v>61</v>
      </c>
      <c r="I7">
        <f>ROUND(PRODUCT(G7/COUNT(F4:F7)),0)</f>
        <v>61</v>
      </c>
      <c r="J7" s="43">
        <v>0.12013888888888889</v>
      </c>
      <c r="K7" s="44">
        <f t="shared" si="5"/>
        <v>0.60972222222222217</v>
      </c>
      <c r="L7" s="42">
        <f t="shared" si="0"/>
        <v>20.5</v>
      </c>
      <c r="M7" s="45">
        <v>26</v>
      </c>
      <c r="N7" s="43">
        <v>0.13541666666666666</v>
      </c>
      <c r="O7" s="44">
        <f t="shared" si="6"/>
        <v>1.0666666666666667</v>
      </c>
      <c r="P7" s="42">
        <f t="shared" si="1"/>
        <v>18.2</v>
      </c>
      <c r="Q7" s="44">
        <f t="shared" si="2"/>
        <v>1.5277777777777765E-2</v>
      </c>
      <c r="R7" s="44">
        <f t="shared" si="9"/>
        <v>0.45694444444444449</v>
      </c>
      <c r="S7">
        <v>120</v>
      </c>
      <c r="T7">
        <v>120</v>
      </c>
      <c r="U7" s="46">
        <f t="shared" si="10"/>
        <v>0</v>
      </c>
      <c r="V7">
        <v>170</v>
      </c>
      <c r="W7" s="46">
        <f t="shared" si="7"/>
        <v>1162</v>
      </c>
      <c r="X7">
        <f t="shared" si="3"/>
        <v>170</v>
      </c>
      <c r="Y7" s="46">
        <f t="shared" si="11"/>
        <v>1087</v>
      </c>
      <c r="Z7" s="46">
        <f t="shared" si="4"/>
        <v>0</v>
      </c>
      <c r="AA7">
        <v>140</v>
      </c>
      <c r="AB7" s="25"/>
      <c r="AC7" s="26"/>
      <c r="AD7" s="25"/>
      <c r="AE7" s="26"/>
      <c r="AF7" s="26"/>
      <c r="AG7" s="26"/>
      <c r="AH7" s="16">
        <f t="shared" si="12"/>
        <v>0</v>
      </c>
    </row>
    <row r="8" spans="1:34" ht="13">
      <c r="A8" s="38" t="s">
        <v>57</v>
      </c>
      <c r="B8" s="39">
        <v>45782</v>
      </c>
      <c r="C8" s="40"/>
      <c r="D8" s="38" t="s">
        <v>55</v>
      </c>
      <c r="E8" s="41"/>
      <c r="F8" s="40"/>
      <c r="G8" s="14">
        <f t="shared" si="8"/>
        <v>242</v>
      </c>
      <c r="H8">
        <f>ROUND(PRODUCT(G8/5),0)</f>
        <v>48</v>
      </c>
      <c r="I8">
        <f>ROUND(PRODUCT(G8/COUNT(F4:F8)),0)</f>
        <v>61</v>
      </c>
      <c r="J8" s="43"/>
      <c r="K8" s="44">
        <f t="shared" si="5"/>
        <v>0.60972222222222217</v>
      </c>
      <c r="L8" s="42">
        <f t="shared" si="0"/>
        <v>0</v>
      </c>
      <c r="M8" s="45"/>
      <c r="N8" s="43"/>
      <c r="O8" s="44">
        <f t="shared" si="6"/>
        <v>1.0666666666666667</v>
      </c>
      <c r="P8" s="42">
        <f t="shared" si="1"/>
        <v>0</v>
      </c>
      <c r="Q8" s="44">
        <f t="shared" si="2"/>
        <v>0</v>
      </c>
      <c r="R8" s="44">
        <f t="shared" si="9"/>
        <v>0.45694444444444449</v>
      </c>
      <c r="U8" s="46">
        <f t="shared" si="10"/>
        <v>0</v>
      </c>
      <c r="W8" s="46">
        <f t="shared" si="7"/>
        <v>1162</v>
      </c>
      <c r="X8">
        <f t="shared" si="3"/>
        <v>0</v>
      </c>
      <c r="Y8" s="46">
        <f t="shared" si="11"/>
        <v>1087</v>
      </c>
      <c r="Z8" s="46">
        <f t="shared" si="4"/>
        <v>0</v>
      </c>
      <c r="AB8" s="25"/>
      <c r="AC8" s="26"/>
      <c r="AD8" s="25"/>
      <c r="AE8" s="26"/>
      <c r="AF8" s="26"/>
      <c r="AG8" s="26"/>
      <c r="AH8" s="16">
        <f t="shared" si="12"/>
        <v>0</v>
      </c>
    </row>
    <row r="9" spans="1:34" ht="13">
      <c r="A9" s="38" t="s">
        <v>58</v>
      </c>
      <c r="B9" s="39">
        <v>45783</v>
      </c>
      <c r="C9" s="40" t="s">
        <v>55</v>
      </c>
      <c r="D9" s="38" t="s">
        <v>59</v>
      </c>
      <c r="E9" s="41" t="s">
        <v>55</v>
      </c>
      <c r="F9" s="40">
        <v>35</v>
      </c>
      <c r="G9" s="14">
        <f t="shared" si="8"/>
        <v>277</v>
      </c>
      <c r="H9">
        <f>ROUND(PRODUCT(G9/6),0)</f>
        <v>46</v>
      </c>
      <c r="I9">
        <f>ROUND(PRODUCT(G9/COUNT(F4:F9)),0)</f>
        <v>55</v>
      </c>
      <c r="J9" s="43">
        <v>8.3333333333333329E-2</v>
      </c>
      <c r="K9" s="44">
        <f t="shared" si="5"/>
        <v>0.69305555555555554</v>
      </c>
      <c r="L9" s="42">
        <f t="shared" si="0"/>
        <v>17.5</v>
      </c>
      <c r="M9" s="45">
        <v>45</v>
      </c>
      <c r="N9" s="43">
        <v>0.10416666666666667</v>
      </c>
      <c r="O9" s="44">
        <f t="shared" si="6"/>
        <v>1.1708333333333334</v>
      </c>
      <c r="P9" s="42">
        <f t="shared" si="1"/>
        <v>14</v>
      </c>
      <c r="Q9" s="44">
        <f t="shared" si="2"/>
        <v>2.0833333333333343E-2</v>
      </c>
      <c r="R9" s="44">
        <f t="shared" si="9"/>
        <v>0.47777777777777786</v>
      </c>
      <c r="S9">
        <v>120</v>
      </c>
      <c r="T9">
        <v>120</v>
      </c>
      <c r="U9" s="46">
        <f t="shared" si="10"/>
        <v>0</v>
      </c>
      <c r="V9">
        <v>386</v>
      </c>
      <c r="W9" s="46">
        <f t="shared" si="7"/>
        <v>1548</v>
      </c>
      <c r="X9">
        <f t="shared" si="3"/>
        <v>386</v>
      </c>
      <c r="Y9" s="46">
        <f t="shared" si="11"/>
        <v>1473</v>
      </c>
      <c r="Z9" s="46">
        <f t="shared" si="4"/>
        <v>0</v>
      </c>
      <c r="AA9">
        <v>210</v>
      </c>
      <c r="AB9" s="25"/>
      <c r="AC9" s="26"/>
      <c r="AD9" s="25"/>
      <c r="AE9" s="26"/>
      <c r="AF9" s="26"/>
      <c r="AG9" s="26"/>
      <c r="AH9" s="16">
        <f t="shared" si="12"/>
        <v>0</v>
      </c>
    </row>
    <row r="10" spans="1:34" ht="13">
      <c r="A10" s="38" t="s">
        <v>60</v>
      </c>
      <c r="B10" s="39">
        <v>45784</v>
      </c>
      <c r="C10" s="40"/>
      <c r="D10" s="38" t="s">
        <v>55</v>
      </c>
      <c r="E10" s="41"/>
      <c r="F10" s="40"/>
      <c r="G10" s="14">
        <f t="shared" si="8"/>
        <v>277</v>
      </c>
      <c r="H10">
        <f>ROUND(PRODUCT(G10/7),0)</f>
        <v>40</v>
      </c>
      <c r="I10">
        <f>ROUND(PRODUCT(G10/COUNT(F4:F10)),0)</f>
        <v>55</v>
      </c>
      <c r="J10" s="43"/>
      <c r="K10" s="44">
        <f t="shared" si="5"/>
        <v>0.69305555555555554</v>
      </c>
      <c r="L10" s="42">
        <f t="shared" si="0"/>
        <v>0</v>
      </c>
      <c r="M10" s="45"/>
      <c r="N10" s="43"/>
      <c r="O10" s="44">
        <f t="shared" si="6"/>
        <v>1.1708333333333334</v>
      </c>
      <c r="P10" s="42">
        <f t="shared" si="1"/>
        <v>0</v>
      </c>
      <c r="Q10" s="44">
        <f t="shared" si="2"/>
        <v>0</v>
      </c>
      <c r="R10" s="44">
        <f t="shared" si="9"/>
        <v>0.47777777777777786</v>
      </c>
      <c r="U10" s="46">
        <f t="shared" si="10"/>
        <v>0</v>
      </c>
      <c r="W10" s="46">
        <f t="shared" si="7"/>
        <v>1548</v>
      </c>
      <c r="X10">
        <f t="shared" si="3"/>
        <v>0</v>
      </c>
      <c r="Y10" s="46">
        <f t="shared" si="11"/>
        <v>1473</v>
      </c>
      <c r="Z10" s="46">
        <f t="shared" si="4"/>
        <v>0</v>
      </c>
      <c r="AB10" s="8"/>
      <c r="AC10" s="26"/>
      <c r="AD10" s="25"/>
      <c r="AE10" s="26"/>
      <c r="AF10" s="26"/>
      <c r="AG10" s="26"/>
      <c r="AH10" s="16">
        <f t="shared" si="12"/>
        <v>0</v>
      </c>
    </row>
    <row r="11" spans="1:34" ht="13">
      <c r="A11" s="38" t="s">
        <v>61</v>
      </c>
      <c r="B11" s="39">
        <v>45785</v>
      </c>
      <c r="C11" s="40" t="s">
        <v>55</v>
      </c>
      <c r="D11" s="38" t="s">
        <v>62</v>
      </c>
      <c r="E11" s="41" t="s">
        <v>55</v>
      </c>
      <c r="F11" s="40">
        <v>33</v>
      </c>
      <c r="G11" s="14">
        <f t="shared" si="8"/>
        <v>310</v>
      </c>
      <c r="H11">
        <f>ROUND(PRODUCT(G11/8),0)</f>
        <v>39</v>
      </c>
      <c r="I11">
        <f>ROUND(PRODUCT(G11/COUNT(F4:F11)),0)</f>
        <v>52</v>
      </c>
      <c r="J11" s="43">
        <v>8.3333333333333329E-2</v>
      </c>
      <c r="K11" s="44">
        <f t="shared" si="5"/>
        <v>0.77638888888888891</v>
      </c>
      <c r="L11" s="42">
        <f t="shared" si="0"/>
        <v>16.5</v>
      </c>
      <c r="M11" s="45">
        <v>45</v>
      </c>
      <c r="N11" s="43">
        <v>0.10416666666666667</v>
      </c>
      <c r="O11" s="44">
        <f t="shared" si="6"/>
        <v>1.2750000000000001</v>
      </c>
      <c r="P11" s="42">
        <f t="shared" si="1"/>
        <v>13.2</v>
      </c>
      <c r="Q11" s="44">
        <f t="shared" si="2"/>
        <v>2.0833333333333343E-2</v>
      </c>
      <c r="R11" s="44">
        <f t="shared" si="9"/>
        <v>0.49861111111111123</v>
      </c>
      <c r="S11">
        <v>120</v>
      </c>
      <c r="T11">
        <v>120</v>
      </c>
      <c r="U11" s="46">
        <f t="shared" si="10"/>
        <v>0</v>
      </c>
      <c r="V11">
        <v>250</v>
      </c>
      <c r="W11" s="46">
        <f t="shared" si="7"/>
        <v>1798</v>
      </c>
      <c r="X11">
        <f t="shared" si="3"/>
        <v>250</v>
      </c>
      <c r="Y11" s="46">
        <f t="shared" si="11"/>
        <v>1723</v>
      </c>
      <c r="Z11" s="46">
        <f t="shared" si="4"/>
        <v>0</v>
      </c>
      <c r="AA11">
        <v>210</v>
      </c>
      <c r="AB11" s="25"/>
      <c r="AC11" s="26"/>
      <c r="AD11" s="25"/>
      <c r="AE11" s="26"/>
      <c r="AF11" s="26"/>
      <c r="AG11" s="26"/>
      <c r="AH11" s="16">
        <f t="shared" si="12"/>
        <v>0</v>
      </c>
    </row>
    <row r="12" spans="1:34" ht="13">
      <c r="A12" s="38" t="s">
        <v>63</v>
      </c>
      <c r="B12" s="39">
        <v>45786</v>
      </c>
      <c r="C12" s="40" t="s">
        <v>55</v>
      </c>
      <c r="D12" s="38" t="s">
        <v>64</v>
      </c>
      <c r="E12" s="41" t="s">
        <v>65</v>
      </c>
      <c r="F12" s="40">
        <v>64</v>
      </c>
      <c r="G12" s="14">
        <f t="shared" si="8"/>
        <v>374</v>
      </c>
      <c r="H12">
        <f>ROUND(PRODUCT(G12/9),0)</f>
        <v>42</v>
      </c>
      <c r="I12">
        <f>ROUND(PRODUCT(G12/COUNT(F4:F12)),0)</f>
        <v>53</v>
      </c>
      <c r="J12" s="43">
        <v>0.1388888888888889</v>
      </c>
      <c r="K12" s="44">
        <f t="shared" si="5"/>
        <v>0.91527777777777786</v>
      </c>
      <c r="L12" s="42">
        <f t="shared" si="0"/>
        <v>19.2</v>
      </c>
      <c r="M12" s="45">
        <v>32</v>
      </c>
      <c r="N12" s="43">
        <v>0.16666666666666666</v>
      </c>
      <c r="O12" s="44">
        <f t="shared" si="6"/>
        <v>1.4416666666666669</v>
      </c>
      <c r="P12" s="42">
        <f t="shared" si="1"/>
        <v>16</v>
      </c>
      <c r="Q12" s="44">
        <f t="shared" si="2"/>
        <v>2.7777777777777762E-2</v>
      </c>
      <c r="R12" s="44">
        <f t="shared" si="9"/>
        <v>0.52638888888888902</v>
      </c>
      <c r="S12">
        <v>120</v>
      </c>
      <c r="T12">
        <v>100</v>
      </c>
      <c r="U12" s="46">
        <f t="shared" si="10"/>
        <v>-20</v>
      </c>
      <c r="V12">
        <v>290</v>
      </c>
      <c r="W12" s="46">
        <f t="shared" si="7"/>
        <v>2088</v>
      </c>
      <c r="X12">
        <f t="shared" si="3"/>
        <v>310</v>
      </c>
      <c r="Y12" s="46">
        <f t="shared" si="11"/>
        <v>2033</v>
      </c>
      <c r="Z12" s="46">
        <f t="shared" si="4"/>
        <v>-20</v>
      </c>
      <c r="AA12">
        <v>210</v>
      </c>
      <c r="AB12" s="25"/>
      <c r="AC12" s="26"/>
      <c r="AD12" s="25"/>
      <c r="AE12" s="26"/>
      <c r="AF12" s="26"/>
      <c r="AG12" s="26"/>
      <c r="AH12" s="16">
        <f t="shared" si="12"/>
        <v>0</v>
      </c>
    </row>
    <row r="13" spans="1:34" ht="13">
      <c r="A13" s="38" t="s">
        <v>5</v>
      </c>
      <c r="B13" s="39">
        <v>45787</v>
      </c>
      <c r="C13" s="40" t="s">
        <v>65</v>
      </c>
      <c r="D13" s="38" t="s">
        <v>66</v>
      </c>
      <c r="E13" s="41" t="s">
        <v>67</v>
      </c>
      <c r="F13" s="40">
        <v>126</v>
      </c>
      <c r="G13" s="14">
        <f t="shared" si="8"/>
        <v>500</v>
      </c>
      <c r="H13">
        <f>ROUND(PRODUCT(G13/10),0)</f>
        <v>50</v>
      </c>
      <c r="I13">
        <f>ROUND(PRODUCT(G13/COUNT(F4:F13)),0)</f>
        <v>63</v>
      </c>
      <c r="J13" s="43">
        <v>0.29930555555555555</v>
      </c>
      <c r="K13" s="44">
        <f t="shared" si="5"/>
        <v>1.2145833333333333</v>
      </c>
      <c r="L13" s="42">
        <f t="shared" si="0"/>
        <v>17.5</v>
      </c>
      <c r="M13" s="45">
        <v>36</v>
      </c>
      <c r="N13" s="43">
        <v>0.5</v>
      </c>
      <c r="O13" s="44">
        <f t="shared" si="6"/>
        <v>1.9416666666666669</v>
      </c>
      <c r="P13" s="42">
        <f t="shared" si="1"/>
        <v>10.5</v>
      </c>
      <c r="Q13" s="44">
        <f t="shared" si="2"/>
        <v>0.20069444444444445</v>
      </c>
      <c r="R13" s="44">
        <f t="shared" si="9"/>
        <v>0.72708333333333353</v>
      </c>
      <c r="S13">
        <v>100</v>
      </c>
      <c r="T13">
        <v>560</v>
      </c>
      <c r="U13" s="46">
        <f t="shared" si="10"/>
        <v>460</v>
      </c>
      <c r="V13">
        <v>1100</v>
      </c>
      <c r="W13" s="46">
        <f t="shared" si="7"/>
        <v>3188</v>
      </c>
      <c r="X13">
        <f t="shared" si="3"/>
        <v>640</v>
      </c>
      <c r="Y13" s="46">
        <f t="shared" si="11"/>
        <v>2673</v>
      </c>
      <c r="Z13" s="46">
        <f t="shared" si="4"/>
        <v>460</v>
      </c>
      <c r="AA13">
        <v>560</v>
      </c>
      <c r="AB13" s="25"/>
      <c r="AC13" s="26"/>
      <c r="AD13" s="25"/>
      <c r="AE13" s="26"/>
      <c r="AF13" s="26"/>
      <c r="AG13" s="26"/>
      <c r="AH13" s="16">
        <f t="shared" si="12"/>
        <v>0</v>
      </c>
    </row>
    <row r="14" spans="1:34" ht="13">
      <c r="A14" s="38" t="s">
        <v>7</v>
      </c>
      <c r="B14" s="39">
        <v>45788</v>
      </c>
      <c r="C14" s="40" t="s">
        <v>67</v>
      </c>
      <c r="D14" s="38" t="s">
        <v>68</v>
      </c>
      <c r="E14" s="41" t="s">
        <v>55</v>
      </c>
      <c r="F14" s="40">
        <v>68</v>
      </c>
      <c r="G14" s="14">
        <f t="shared" si="8"/>
        <v>568</v>
      </c>
      <c r="H14">
        <f>ROUND(PRODUCT(G14/11),0)</f>
        <v>52</v>
      </c>
      <c r="I14">
        <f>ROUND(PRODUCT(G14/COUNT(F4:F14)),0)</f>
        <v>63</v>
      </c>
      <c r="J14" s="43">
        <v>0.15833333333333333</v>
      </c>
      <c r="K14" s="44">
        <f t="shared" si="5"/>
        <v>1.3729166666666668</v>
      </c>
      <c r="L14" s="42">
        <f t="shared" si="0"/>
        <v>17.899999999999999</v>
      </c>
      <c r="M14" s="45">
        <v>39</v>
      </c>
      <c r="N14" s="43">
        <v>0.20833333333333334</v>
      </c>
      <c r="O14" s="44">
        <f t="shared" si="6"/>
        <v>2.1500000000000004</v>
      </c>
      <c r="P14" s="42">
        <f t="shared" si="1"/>
        <v>13.6</v>
      </c>
      <c r="Q14" s="44">
        <f t="shared" si="2"/>
        <v>5.0000000000000017E-2</v>
      </c>
      <c r="R14" s="44">
        <f t="shared" si="9"/>
        <v>0.77708333333333357</v>
      </c>
      <c r="S14">
        <v>560</v>
      </c>
      <c r="T14">
        <v>120</v>
      </c>
      <c r="U14" s="46">
        <f t="shared" si="10"/>
        <v>-440</v>
      </c>
      <c r="V14">
        <v>450</v>
      </c>
      <c r="W14" s="46">
        <f t="shared" si="7"/>
        <v>3638</v>
      </c>
      <c r="X14">
        <f t="shared" si="3"/>
        <v>890</v>
      </c>
      <c r="Y14" s="46">
        <f t="shared" si="11"/>
        <v>3563</v>
      </c>
      <c r="Z14" s="46">
        <f t="shared" si="4"/>
        <v>-440</v>
      </c>
      <c r="AA14">
        <v>560</v>
      </c>
      <c r="AB14" s="25"/>
      <c r="AC14" s="26"/>
      <c r="AD14" s="25"/>
      <c r="AE14" s="26"/>
      <c r="AF14" s="26"/>
      <c r="AG14" s="26"/>
      <c r="AH14" s="16">
        <f t="shared" si="12"/>
        <v>0</v>
      </c>
    </row>
    <row r="15" spans="1:34" ht="13">
      <c r="A15" s="38" t="s">
        <v>35</v>
      </c>
      <c r="B15" s="39">
        <v>45789</v>
      </c>
      <c r="C15" s="40" t="s">
        <v>55</v>
      </c>
      <c r="D15" s="38" t="s">
        <v>69</v>
      </c>
      <c r="E15" s="41" t="s">
        <v>55</v>
      </c>
      <c r="F15" s="40">
        <v>38</v>
      </c>
      <c r="G15" s="14">
        <f t="shared" si="8"/>
        <v>606</v>
      </c>
      <c r="H15">
        <f>ROUND(PRODUCT(G15/12),0)</f>
        <v>51</v>
      </c>
      <c r="I15">
        <f>ROUND(PRODUCT(G15/COUNT(F4:F15)),0)</f>
        <v>61</v>
      </c>
      <c r="J15" s="43">
        <v>8.3333333333333329E-2</v>
      </c>
      <c r="K15" s="44">
        <f t="shared" si="5"/>
        <v>1.45625</v>
      </c>
      <c r="L15" s="42">
        <f t="shared" si="0"/>
        <v>19</v>
      </c>
      <c r="M15" s="45">
        <v>42</v>
      </c>
      <c r="N15" s="43">
        <v>0.10416666666666667</v>
      </c>
      <c r="O15" s="44">
        <f t="shared" si="6"/>
        <v>2.2541666666666669</v>
      </c>
      <c r="P15" s="42">
        <f t="shared" si="1"/>
        <v>15.2</v>
      </c>
      <c r="Q15" s="44">
        <f t="shared" si="2"/>
        <v>2.0833333333333343E-2</v>
      </c>
      <c r="R15" s="44">
        <f t="shared" si="9"/>
        <v>0.79791666666666694</v>
      </c>
      <c r="S15">
        <v>120</v>
      </c>
      <c r="T15">
        <v>120</v>
      </c>
      <c r="U15" s="46">
        <f t="shared" si="10"/>
        <v>0</v>
      </c>
      <c r="V15">
        <v>250</v>
      </c>
      <c r="W15" s="46">
        <f t="shared" si="7"/>
        <v>3888</v>
      </c>
      <c r="X15">
        <f t="shared" si="3"/>
        <v>250</v>
      </c>
      <c r="Y15" s="46">
        <f t="shared" si="11"/>
        <v>3813</v>
      </c>
      <c r="Z15" s="46">
        <f t="shared" si="4"/>
        <v>0</v>
      </c>
      <c r="AA15">
        <v>210</v>
      </c>
      <c r="AB15" s="8"/>
      <c r="AC15" s="26"/>
      <c r="AD15" s="25"/>
      <c r="AE15" s="26"/>
      <c r="AF15" s="26"/>
      <c r="AG15" s="26"/>
      <c r="AH15" s="16">
        <f t="shared" si="12"/>
        <v>0</v>
      </c>
    </row>
    <row r="16" spans="1:34" ht="13">
      <c r="A16" s="38" t="s">
        <v>36</v>
      </c>
      <c r="B16" s="39">
        <v>45790</v>
      </c>
      <c r="C16" s="40" t="s">
        <v>55</v>
      </c>
      <c r="D16" s="38" t="s">
        <v>70</v>
      </c>
      <c r="E16" s="41" t="s">
        <v>55</v>
      </c>
      <c r="F16" s="40">
        <v>37</v>
      </c>
      <c r="G16" s="14">
        <f t="shared" si="8"/>
        <v>643</v>
      </c>
      <c r="H16">
        <f>ROUND(PRODUCT(G16/13),0)</f>
        <v>49</v>
      </c>
      <c r="I16">
        <f>ROUND(PRODUCT(G16/COUNT(F4:F16)),0)</f>
        <v>58</v>
      </c>
      <c r="J16" s="43">
        <v>9.375E-2</v>
      </c>
      <c r="K16" s="44">
        <f t="shared" si="5"/>
        <v>1.55</v>
      </c>
      <c r="L16" s="42">
        <f t="shared" si="0"/>
        <v>16.399999999999999</v>
      </c>
      <c r="M16" s="45">
        <v>40</v>
      </c>
      <c r="N16" s="43">
        <v>0.125</v>
      </c>
      <c r="O16" s="44">
        <f t="shared" si="6"/>
        <v>2.3791666666666669</v>
      </c>
      <c r="P16" s="42">
        <f t="shared" si="1"/>
        <v>12.3</v>
      </c>
      <c r="Q16" s="44">
        <f t="shared" si="2"/>
        <v>3.125E-2</v>
      </c>
      <c r="R16" s="44">
        <f t="shared" si="9"/>
        <v>0.82916666666666694</v>
      </c>
      <c r="S16">
        <v>120</v>
      </c>
      <c r="T16">
        <v>120</v>
      </c>
      <c r="U16" s="46">
        <f t="shared" si="10"/>
        <v>0</v>
      </c>
      <c r="V16">
        <v>240</v>
      </c>
      <c r="W16" s="46">
        <f t="shared" si="7"/>
        <v>4128</v>
      </c>
      <c r="X16">
        <f t="shared" si="3"/>
        <v>240</v>
      </c>
      <c r="Y16" s="46">
        <f t="shared" si="11"/>
        <v>4053</v>
      </c>
      <c r="Z16" s="46">
        <f t="shared" si="4"/>
        <v>0</v>
      </c>
      <c r="AA16">
        <v>210</v>
      </c>
      <c r="AB16" s="25"/>
      <c r="AC16" s="26"/>
      <c r="AD16" s="25"/>
      <c r="AE16" s="26"/>
      <c r="AF16" s="26"/>
      <c r="AG16" s="26"/>
      <c r="AH16" s="16">
        <f t="shared" si="12"/>
        <v>0</v>
      </c>
    </row>
    <row r="17" spans="1:34" ht="13">
      <c r="A17" s="38" t="s">
        <v>37</v>
      </c>
      <c r="B17" s="39">
        <v>45791</v>
      </c>
      <c r="C17" s="40"/>
      <c r="D17" s="38" t="s">
        <v>55</v>
      </c>
      <c r="E17" s="41"/>
      <c r="F17" s="40"/>
      <c r="G17" s="14">
        <f t="shared" si="8"/>
        <v>643</v>
      </c>
      <c r="H17">
        <f>ROUND(PRODUCT(G17/14),0)</f>
        <v>46</v>
      </c>
      <c r="I17">
        <f>ROUND(PRODUCT(G17/COUNT(F4:F17)),0)</f>
        <v>58</v>
      </c>
      <c r="J17" s="43"/>
      <c r="K17" s="44">
        <f t="shared" si="5"/>
        <v>1.55</v>
      </c>
      <c r="L17" s="42">
        <f t="shared" si="0"/>
        <v>0</v>
      </c>
      <c r="M17" s="45"/>
      <c r="N17" s="43"/>
      <c r="O17" s="44">
        <f t="shared" si="6"/>
        <v>2.3791666666666669</v>
      </c>
      <c r="P17" s="42">
        <f t="shared" si="1"/>
        <v>0</v>
      </c>
      <c r="Q17" s="44">
        <f t="shared" si="2"/>
        <v>0</v>
      </c>
      <c r="R17" s="44">
        <f t="shared" si="9"/>
        <v>0.82916666666666694</v>
      </c>
      <c r="U17" s="46">
        <f t="shared" si="10"/>
        <v>0</v>
      </c>
      <c r="W17" s="46">
        <f t="shared" si="7"/>
        <v>4128</v>
      </c>
      <c r="X17">
        <f t="shared" si="3"/>
        <v>0</v>
      </c>
      <c r="Y17" s="46">
        <f t="shared" si="11"/>
        <v>4053</v>
      </c>
      <c r="Z17" s="46">
        <f t="shared" si="4"/>
        <v>0</v>
      </c>
      <c r="AB17" s="25"/>
      <c r="AC17" s="26"/>
      <c r="AD17" s="25"/>
      <c r="AE17" s="26"/>
      <c r="AF17" s="26"/>
      <c r="AG17" s="26"/>
      <c r="AH17" s="16">
        <f t="shared" si="12"/>
        <v>0</v>
      </c>
    </row>
    <row r="18" spans="1:34" ht="13">
      <c r="A18" s="38" t="s">
        <v>38</v>
      </c>
      <c r="B18" s="39">
        <v>45792</v>
      </c>
      <c r="C18" s="40" t="s">
        <v>55</v>
      </c>
      <c r="D18" s="38" t="s">
        <v>71</v>
      </c>
      <c r="E18" s="41" t="s">
        <v>55</v>
      </c>
      <c r="F18" s="40">
        <v>70</v>
      </c>
      <c r="G18" s="14">
        <f t="shared" si="8"/>
        <v>713</v>
      </c>
      <c r="H18">
        <f>ROUND(PRODUCT(G18/15),0)</f>
        <v>48</v>
      </c>
      <c r="I18">
        <f>ROUND(PRODUCT(G18/COUNT(F4:F18)),0)</f>
        <v>59</v>
      </c>
      <c r="J18" s="43">
        <v>0.16666666666666666</v>
      </c>
      <c r="K18" s="44">
        <f t="shared" si="5"/>
        <v>1.7166666666666668</v>
      </c>
      <c r="L18" s="42">
        <f t="shared" si="0"/>
        <v>17.5</v>
      </c>
      <c r="M18" s="45">
        <v>45</v>
      </c>
      <c r="N18" s="43">
        <v>0.20833333333333334</v>
      </c>
      <c r="O18" s="44">
        <f t="shared" si="6"/>
        <v>2.5875000000000004</v>
      </c>
      <c r="P18" s="42">
        <f t="shared" si="1"/>
        <v>14</v>
      </c>
      <c r="Q18" s="44">
        <f t="shared" si="2"/>
        <v>4.1666666666666685E-2</v>
      </c>
      <c r="R18" s="44">
        <f t="shared" si="9"/>
        <v>0.87083333333333357</v>
      </c>
      <c r="S18">
        <v>120</v>
      </c>
      <c r="T18">
        <v>120</v>
      </c>
      <c r="U18" s="46">
        <f t="shared" si="10"/>
        <v>0</v>
      </c>
      <c r="V18">
        <v>380</v>
      </c>
      <c r="W18" s="46">
        <f t="shared" si="7"/>
        <v>4508</v>
      </c>
      <c r="X18">
        <f t="shared" si="3"/>
        <v>380</v>
      </c>
      <c r="Y18" s="46">
        <f t="shared" si="11"/>
        <v>4433</v>
      </c>
      <c r="Z18" s="46">
        <f t="shared" si="4"/>
        <v>0</v>
      </c>
      <c r="AA18">
        <v>220</v>
      </c>
      <c r="AB18" s="25"/>
      <c r="AC18" s="26"/>
      <c r="AD18" s="25"/>
      <c r="AE18" s="26"/>
      <c r="AF18" s="26"/>
      <c r="AG18" s="26"/>
      <c r="AH18" s="16">
        <f t="shared" si="12"/>
        <v>0</v>
      </c>
    </row>
    <row r="19" spans="1:34" ht="13">
      <c r="A19" s="38" t="s">
        <v>41</v>
      </c>
      <c r="B19" s="39">
        <v>45793</v>
      </c>
      <c r="C19" s="40" t="s">
        <v>55</v>
      </c>
      <c r="D19" s="47" t="s">
        <v>72</v>
      </c>
      <c r="E19" s="41" t="s">
        <v>73</v>
      </c>
      <c r="F19" s="40">
        <v>25</v>
      </c>
      <c r="G19" s="14">
        <f t="shared" si="8"/>
        <v>738</v>
      </c>
      <c r="H19">
        <f>ROUND(PRODUCT(G19/16),0)</f>
        <v>46</v>
      </c>
      <c r="I19">
        <f>ROUND(PRODUCT(G19/COUNT(F4:F19)),0)</f>
        <v>57</v>
      </c>
      <c r="J19" s="43">
        <v>6.25E-2</v>
      </c>
      <c r="K19" s="44">
        <f t="shared" si="5"/>
        <v>1.7791666666666668</v>
      </c>
      <c r="L19" s="42">
        <f t="shared" si="0"/>
        <v>16.7</v>
      </c>
      <c r="M19" s="45">
        <v>42</v>
      </c>
      <c r="N19" s="43">
        <v>8.3333333333333329E-2</v>
      </c>
      <c r="O19" s="44">
        <f t="shared" si="6"/>
        <v>2.6708333333333338</v>
      </c>
      <c r="P19" s="42">
        <f t="shared" si="1"/>
        <v>12.5</v>
      </c>
      <c r="Q19" s="44">
        <f t="shared" si="2"/>
        <v>2.0833333333333329E-2</v>
      </c>
      <c r="R19" s="44">
        <f t="shared" si="9"/>
        <v>0.89166666666666694</v>
      </c>
      <c r="S19">
        <v>120</v>
      </c>
      <c r="T19">
        <v>135</v>
      </c>
      <c r="U19" s="46">
        <f t="shared" si="10"/>
        <v>15</v>
      </c>
      <c r="V19">
        <v>250</v>
      </c>
      <c r="W19" s="46">
        <f t="shared" si="7"/>
        <v>4758</v>
      </c>
      <c r="X19">
        <f t="shared" si="3"/>
        <v>235</v>
      </c>
      <c r="Y19" s="46">
        <f t="shared" si="11"/>
        <v>4668</v>
      </c>
      <c r="Z19" s="46">
        <f t="shared" si="4"/>
        <v>15</v>
      </c>
      <c r="AA19">
        <v>140</v>
      </c>
      <c r="AB19" s="25"/>
      <c r="AC19" s="26"/>
      <c r="AD19" s="25"/>
      <c r="AE19" s="26"/>
      <c r="AF19" s="26"/>
      <c r="AG19" s="26"/>
      <c r="AH19" s="16">
        <f t="shared" si="12"/>
        <v>0</v>
      </c>
    </row>
    <row r="20" spans="1:34" ht="13">
      <c r="A20" s="38" t="s">
        <v>42</v>
      </c>
      <c r="B20" s="39">
        <v>45794</v>
      </c>
      <c r="C20" s="40" t="s">
        <v>73</v>
      </c>
      <c r="D20" s="38" t="s">
        <v>74</v>
      </c>
      <c r="E20" s="41" t="s">
        <v>75</v>
      </c>
      <c r="F20" s="40">
        <v>65</v>
      </c>
      <c r="G20" s="14">
        <f t="shared" si="8"/>
        <v>803</v>
      </c>
      <c r="H20">
        <f>ROUND(PRODUCT(G20/17),0)</f>
        <v>47</v>
      </c>
      <c r="I20">
        <f>ROUND(PRODUCT(G20/COUNT(F4:F20)),0)</f>
        <v>57</v>
      </c>
      <c r="J20" s="43">
        <v>0.13541666666666666</v>
      </c>
      <c r="K20" s="44">
        <f t="shared" si="5"/>
        <v>1.9145833333333335</v>
      </c>
      <c r="L20" s="42">
        <f t="shared" si="0"/>
        <v>20</v>
      </c>
      <c r="M20" s="45">
        <v>46</v>
      </c>
      <c r="N20" s="43">
        <v>0.16666666666666666</v>
      </c>
      <c r="O20" s="44">
        <f t="shared" si="6"/>
        <v>2.8375000000000004</v>
      </c>
      <c r="P20" s="42">
        <f t="shared" si="1"/>
        <v>16.3</v>
      </c>
      <c r="Q20" s="44">
        <f t="shared" si="2"/>
        <v>3.125E-2</v>
      </c>
      <c r="R20" s="44">
        <f t="shared" si="9"/>
        <v>0.92291666666666694</v>
      </c>
      <c r="S20">
        <v>135</v>
      </c>
      <c r="T20">
        <v>40</v>
      </c>
      <c r="U20" s="46">
        <f t="shared" si="10"/>
        <v>-95</v>
      </c>
      <c r="V20">
        <v>360</v>
      </c>
      <c r="W20" s="46">
        <f t="shared" si="7"/>
        <v>5118</v>
      </c>
      <c r="X20">
        <f t="shared" si="3"/>
        <v>455</v>
      </c>
      <c r="Y20" s="46">
        <f t="shared" si="11"/>
        <v>5123</v>
      </c>
      <c r="Z20" s="46">
        <f t="shared" si="4"/>
        <v>-95</v>
      </c>
      <c r="AA20">
        <v>170</v>
      </c>
      <c r="AB20" s="25"/>
      <c r="AC20" s="26"/>
      <c r="AD20" s="25"/>
      <c r="AE20" s="26"/>
      <c r="AF20" s="26"/>
      <c r="AG20" s="26"/>
      <c r="AH20" s="16">
        <f t="shared" si="12"/>
        <v>0</v>
      </c>
    </row>
    <row r="21" spans="1:34" ht="13">
      <c r="A21" s="38" t="s">
        <v>43</v>
      </c>
      <c r="B21" s="39">
        <v>45795</v>
      </c>
      <c r="C21" s="40" t="s">
        <v>75</v>
      </c>
      <c r="D21" s="38" t="s">
        <v>76</v>
      </c>
      <c r="E21" s="41" t="s">
        <v>55</v>
      </c>
      <c r="F21" s="40">
        <v>236</v>
      </c>
      <c r="G21" s="14">
        <f t="shared" si="8"/>
        <v>1039</v>
      </c>
      <c r="H21">
        <f>ROUND(PRODUCT(G21/18),0)</f>
        <v>58</v>
      </c>
      <c r="I21">
        <f>ROUND(PRODUCT(G21/COUNT(F4:F21)),0)</f>
        <v>69</v>
      </c>
      <c r="J21" s="43">
        <v>0.46875</v>
      </c>
      <c r="K21" s="44">
        <f t="shared" si="5"/>
        <v>2.3833333333333337</v>
      </c>
      <c r="L21" s="42">
        <f t="shared" si="0"/>
        <v>21</v>
      </c>
      <c r="M21" s="45">
        <v>35</v>
      </c>
      <c r="N21" s="43">
        <v>0.55208333333333337</v>
      </c>
      <c r="O21" s="44">
        <f t="shared" si="6"/>
        <v>3.3895833333333338</v>
      </c>
      <c r="P21" s="42">
        <f t="shared" si="1"/>
        <v>17.8</v>
      </c>
      <c r="Q21" s="44">
        <f t="shared" si="2"/>
        <v>8.333333333333337E-2</v>
      </c>
      <c r="R21" s="44">
        <f t="shared" si="9"/>
        <v>1.0062500000000003</v>
      </c>
      <c r="S21">
        <v>40</v>
      </c>
      <c r="T21">
        <v>120</v>
      </c>
      <c r="U21" s="46">
        <f t="shared" si="10"/>
        <v>80</v>
      </c>
      <c r="V21">
        <v>630</v>
      </c>
      <c r="W21" s="46">
        <f t="shared" si="7"/>
        <v>5748</v>
      </c>
      <c r="X21">
        <f t="shared" si="3"/>
        <v>550</v>
      </c>
      <c r="Y21" s="46">
        <f t="shared" si="11"/>
        <v>5673</v>
      </c>
      <c r="Z21" s="46">
        <f t="shared" si="4"/>
        <v>80</v>
      </c>
      <c r="AA21">
        <v>140</v>
      </c>
      <c r="AB21" s="25"/>
      <c r="AC21" s="26"/>
      <c r="AD21" s="25"/>
      <c r="AE21" s="26"/>
      <c r="AF21" s="26"/>
      <c r="AG21" s="26"/>
      <c r="AH21" s="16">
        <f t="shared" si="12"/>
        <v>0</v>
      </c>
    </row>
    <row r="22" spans="1:34" ht="13">
      <c r="A22" s="27" t="s">
        <v>6</v>
      </c>
      <c r="B22" s="56"/>
      <c r="C22" s="57"/>
      <c r="D22" s="57"/>
      <c r="E22" s="58"/>
      <c r="F22" s="28">
        <f>SUM(F4:F21)</f>
        <v>1039</v>
      </c>
      <c r="G22" s="18">
        <f>SUM(G21)</f>
        <v>1039</v>
      </c>
      <c r="H22" s="18">
        <f>SUM(H21)</f>
        <v>58</v>
      </c>
      <c r="I22" s="18">
        <f>SUM(I21)</f>
        <v>69</v>
      </c>
      <c r="J22" s="19">
        <f>SUM(J4:J21)</f>
        <v>2.3833333333333337</v>
      </c>
      <c r="K22" s="32">
        <f>F22/SUM(HOUR(J22)+(ROUNDDOWN(J22,0)*24),PRODUCT(MINUTE(J22)/60))</f>
        <v>18.164335664335663</v>
      </c>
      <c r="L22" s="36">
        <f>SUM(L4:L21)/(COUNT(F4:F21))</f>
        <v>17.766666666666666</v>
      </c>
      <c r="M22" s="37">
        <f>PRODUCT(SUM(M4:M21),1/COUNT(M4:M21))</f>
        <v>40.073333333333338</v>
      </c>
      <c r="N22" s="19">
        <f>SUM(N4:N21)</f>
        <v>3.3895833333333338</v>
      </c>
      <c r="O22" s="32">
        <f>F22/SUM(HOUR(N22)+(ROUNDDOWN(N22,0)*24),PRODUCT(MINUTE(N22)/60))</f>
        <v>12.771972956361402</v>
      </c>
      <c r="P22" s="36">
        <f>SUM(P4:P21)/COUNT(F4:F21)</f>
        <v>13.22</v>
      </c>
      <c r="Q22" s="19">
        <f>SUM(Q4:Q21)</f>
        <v>1.0062500000000003</v>
      </c>
      <c r="R22" s="18"/>
      <c r="S22" s="18">
        <f>ROUND(SUM(S4:S21)/COUNT(S4:S21),0)</f>
        <v>176</v>
      </c>
      <c r="T22" s="18">
        <f>ROUND(SUM(T4:T21)/COUNT(T4:T21),0)</f>
        <v>181</v>
      </c>
      <c r="U22" s="20">
        <f>SUM(U4:U21)</f>
        <v>75</v>
      </c>
      <c r="V22" s="18">
        <f>ROUND(SUM(V4:V21)/COUNT(V4:V21),0)</f>
        <v>383</v>
      </c>
      <c r="W22" s="18">
        <f>SUM(W21)</f>
        <v>5748</v>
      </c>
      <c r="X22" s="18">
        <f>ROUND(SUM(X4:X21)/COUNT(V4:V21),0)</f>
        <v>378</v>
      </c>
      <c r="Y22" s="18">
        <f>SUM(Y21)</f>
        <v>5673</v>
      </c>
      <c r="Z22" s="20">
        <f>SUM(Z4:Z21)</f>
        <v>75</v>
      </c>
      <c r="AA22" s="18">
        <f>ROUND(SUM(AA4:AA21)/COUNT(AA4:AA21),0)</f>
        <v>266</v>
      </c>
      <c r="AB22" s="31" t="e">
        <f t="shared" ref="AB22:AG22" si="13">SUM(AB4:AB21)/COUNT(AB4:AB21)</f>
        <v>#DIV/0!</v>
      </c>
      <c r="AC22" s="31" t="e">
        <f t="shared" si="13"/>
        <v>#DIV/0!</v>
      </c>
      <c r="AD22" s="31" t="e">
        <f t="shared" si="13"/>
        <v>#DIV/0!</v>
      </c>
      <c r="AE22" s="31" t="e">
        <f t="shared" si="13"/>
        <v>#DIV/0!</v>
      </c>
      <c r="AF22" s="31" t="e">
        <f t="shared" si="13"/>
        <v>#DIV/0!</v>
      </c>
      <c r="AG22" s="31" t="e">
        <f t="shared" si="13"/>
        <v>#DIV/0!</v>
      </c>
      <c r="AH22" s="31" t="e">
        <f>SUM(AH4:AH21)/COUNT(AG4:AG21)</f>
        <v>#DIV/0!</v>
      </c>
    </row>
    <row r="23" spans="1:34" ht="13">
      <c r="Q23" s="8"/>
      <c r="R23" s="8"/>
      <c r="S23" s="8"/>
      <c r="W23" s="15"/>
      <c r="Y23" s="15"/>
    </row>
    <row r="24" spans="1:34" ht="13">
      <c r="O24" s="8"/>
      <c r="P24" s="8"/>
      <c r="Q24" s="8"/>
      <c r="R24" s="29"/>
      <c r="S24" s="8"/>
      <c r="T24" s="8"/>
      <c r="U24" s="8"/>
      <c r="V24" s="8"/>
      <c r="W24" s="15"/>
      <c r="X24" s="8"/>
      <c r="Y24" s="15"/>
      <c r="Z24" s="8"/>
      <c r="AA24" s="8"/>
    </row>
    <row r="25" spans="1:34" ht="13">
      <c r="N25" s="35"/>
      <c r="O25" s="8"/>
      <c r="P25" s="8"/>
      <c r="Q25" s="34"/>
      <c r="R25" s="34"/>
      <c r="S25" s="8"/>
      <c r="T25" s="8"/>
      <c r="U25" s="8"/>
      <c r="V25" s="8"/>
      <c r="W25" s="8"/>
      <c r="X25" s="8"/>
      <c r="Y25" s="8"/>
      <c r="Z25" s="8"/>
      <c r="AA25" s="8"/>
    </row>
    <row r="26" spans="1:34" ht="13">
      <c r="O26" s="8"/>
      <c r="P26" s="8"/>
      <c r="Q26" s="34"/>
      <c r="R26" s="34"/>
      <c r="S26" s="8"/>
      <c r="T26" s="8"/>
      <c r="U26" s="8"/>
      <c r="V26" s="8"/>
      <c r="W26" s="8"/>
      <c r="X26" s="8"/>
      <c r="Y26" s="8"/>
      <c r="Z26" s="8"/>
      <c r="AA26" s="8"/>
    </row>
    <row r="27" spans="1:34" ht="13">
      <c r="O27" s="8"/>
      <c r="P27" s="8"/>
      <c r="Q27" s="8"/>
      <c r="R27" s="34"/>
      <c r="S27" s="8"/>
      <c r="T27" s="8"/>
      <c r="U27" s="8"/>
      <c r="V27" s="8"/>
      <c r="W27" s="8"/>
      <c r="X27" s="8"/>
      <c r="Y27" s="8"/>
      <c r="Z27" s="8"/>
      <c r="AA27" s="8"/>
    </row>
    <row r="28" spans="1:34"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</row>
  </sheetData>
  <mergeCells count="4">
    <mergeCell ref="A1:F1"/>
    <mergeCell ref="A2:F2"/>
    <mergeCell ref="G1:AH1"/>
    <mergeCell ref="B22:E22"/>
  </mergeCells>
  <phoneticPr fontId="0" type="noConversion"/>
  <pageMargins left="0.59055118110236227" right="0.39370078740157483" top="0.98425196850393704" bottom="0.98425196850393704" header="0.51181102362204722" footer="0.51181102362204722"/>
  <pageSetup paperSize="9" scale="93" orientation="landscape" r:id="rId1"/>
  <headerFooter alignWithMargins="0"/>
  <colBreaks count="1" manualBreakCount="1">
    <brk id="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C02C64-2CEF-4B98-BCE4-47D4D50776B9}">
  <sheetPr codeName="Tabelle2"/>
  <dimension ref="A1"/>
  <sheetViews>
    <sheetView workbookViewId="0"/>
  </sheetViews>
  <sheetFormatPr baseColWidth="10" defaultRowHeight="12.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5CE3F4-909E-43C0-9CC3-FA9395571D79}">
  <sheetPr codeName="Tabelle3"/>
  <dimension ref="A1"/>
  <sheetViews>
    <sheetView workbookViewId="0"/>
  </sheetViews>
  <sheetFormatPr baseColWidth="10" defaultRowHeight="12.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>MSCRM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christoph.gocke</dc:creator>
  <cp:lastModifiedBy>Gocke, Christoph</cp:lastModifiedBy>
  <cp:lastPrinted>2017-11-28T07:41:13Z</cp:lastPrinted>
  <dcterms:created xsi:type="dcterms:W3CDTF">2001-02-09T16:25:48Z</dcterms:created>
  <dcterms:modified xsi:type="dcterms:W3CDTF">2025-11-12T19:55:07Z</dcterms:modified>
</cp:coreProperties>
</file>