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"/>
    </mc:Choice>
  </mc:AlternateContent>
  <xr:revisionPtr revIDLastSave="0" documentId="8_{E7B0631B-FCD7-4FCF-8BFB-87F3710A6019}" xr6:coauthVersionLast="47" xr6:coauthVersionMax="47" xr10:uidLastSave="{00000000-0000-0000-0000-000000000000}"/>
  <bookViews>
    <workbookView xWindow="-110" yWindow="-110" windowWidth="19420" windowHeight="10420" xr2:uid="{C7208094-2DEA-4550-BD03-3EA684C1C903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2" i="1" l="1"/>
  <c r="W62" i="1"/>
  <c r="I62" i="1"/>
  <c r="H62" i="1"/>
  <c r="G62" i="1"/>
  <c r="X56" i="1"/>
  <c r="Z56" i="1"/>
  <c r="U56" i="1"/>
  <c r="Q56" i="1"/>
  <c r="P56" i="1"/>
  <c r="L56" i="1"/>
  <c r="X55" i="1"/>
  <c r="Z55" i="1"/>
  <c r="U55" i="1"/>
  <c r="Q55" i="1"/>
  <c r="P55" i="1"/>
  <c r="L55" i="1"/>
  <c r="X54" i="1"/>
  <c r="Z54" i="1"/>
  <c r="U54" i="1"/>
  <c r="Q54" i="1"/>
  <c r="P54" i="1"/>
  <c r="L54" i="1"/>
  <c r="X53" i="1"/>
  <c r="Z53" i="1"/>
  <c r="U53" i="1"/>
  <c r="Q53" i="1"/>
  <c r="P53" i="1"/>
  <c r="L53" i="1"/>
  <c r="X52" i="1"/>
  <c r="Z52" i="1"/>
  <c r="U52" i="1"/>
  <c r="Q52" i="1"/>
  <c r="P52" i="1"/>
  <c r="L52" i="1"/>
  <c r="X51" i="1"/>
  <c r="Z51" i="1"/>
  <c r="U51" i="1"/>
  <c r="Q51" i="1"/>
  <c r="P51" i="1"/>
  <c r="L51" i="1"/>
  <c r="Z50" i="1"/>
  <c r="X50" i="1"/>
  <c r="U50" i="1"/>
  <c r="Q50" i="1"/>
  <c r="P50" i="1"/>
  <c r="L50" i="1"/>
  <c r="X49" i="1"/>
  <c r="Z49" i="1"/>
  <c r="U49" i="1"/>
  <c r="Q49" i="1"/>
  <c r="P49" i="1"/>
  <c r="L49" i="1"/>
  <c r="X48" i="1"/>
  <c r="Z48" i="1"/>
  <c r="U48" i="1"/>
  <c r="Q48" i="1"/>
  <c r="P48" i="1"/>
  <c r="L48" i="1"/>
  <c r="X47" i="1"/>
  <c r="Z47" i="1"/>
  <c r="U47" i="1"/>
  <c r="Q47" i="1"/>
  <c r="P47" i="1"/>
  <c r="L47" i="1"/>
  <c r="Z46" i="1"/>
  <c r="X46" i="1"/>
  <c r="U46" i="1"/>
  <c r="Q46" i="1"/>
  <c r="P46" i="1"/>
  <c r="L46" i="1"/>
  <c r="X45" i="1"/>
  <c r="Z45" i="1"/>
  <c r="U45" i="1"/>
  <c r="Q45" i="1"/>
  <c r="P45" i="1"/>
  <c r="L45" i="1"/>
  <c r="X44" i="1"/>
  <c r="Z44" i="1"/>
  <c r="U44" i="1"/>
  <c r="Q44" i="1"/>
  <c r="P44" i="1"/>
  <c r="L44" i="1"/>
  <c r="X43" i="1"/>
  <c r="Z43" i="1"/>
  <c r="U43" i="1"/>
  <c r="Q43" i="1"/>
  <c r="P43" i="1"/>
  <c r="L43" i="1"/>
  <c r="Z42" i="1"/>
  <c r="X42" i="1"/>
  <c r="U42" i="1"/>
  <c r="Q42" i="1"/>
  <c r="P42" i="1"/>
  <c r="L42" i="1"/>
  <c r="X41" i="1"/>
  <c r="Z41" i="1"/>
  <c r="U41" i="1"/>
  <c r="Q41" i="1"/>
  <c r="P41" i="1"/>
  <c r="L41" i="1"/>
  <c r="X40" i="1"/>
  <c r="Z40" i="1"/>
  <c r="U40" i="1"/>
  <c r="Q40" i="1"/>
  <c r="P40" i="1"/>
  <c r="L40" i="1"/>
  <c r="X39" i="1"/>
  <c r="Z39" i="1"/>
  <c r="U39" i="1"/>
  <c r="Q39" i="1"/>
  <c r="P39" i="1"/>
  <c r="L39" i="1"/>
  <c r="Z38" i="1"/>
  <c r="X38" i="1"/>
  <c r="U38" i="1"/>
  <c r="Q38" i="1"/>
  <c r="P38" i="1"/>
  <c r="L38" i="1"/>
  <c r="X37" i="1"/>
  <c r="Z37" i="1"/>
  <c r="U37" i="1"/>
  <c r="Q37" i="1"/>
  <c r="P37" i="1"/>
  <c r="L37" i="1"/>
  <c r="X36" i="1"/>
  <c r="Z36" i="1"/>
  <c r="U36" i="1"/>
  <c r="Q36" i="1"/>
  <c r="P36" i="1"/>
  <c r="L36" i="1"/>
  <c r="X35" i="1"/>
  <c r="Z35" i="1"/>
  <c r="U35" i="1"/>
  <c r="Q35" i="1"/>
  <c r="P35" i="1"/>
  <c r="L35" i="1"/>
  <c r="Z34" i="1"/>
  <c r="X34" i="1"/>
  <c r="U34" i="1"/>
  <c r="Q34" i="1"/>
  <c r="P34" i="1"/>
  <c r="L34" i="1"/>
  <c r="X33" i="1"/>
  <c r="Z33" i="1"/>
  <c r="U33" i="1"/>
  <c r="Q33" i="1"/>
  <c r="P33" i="1"/>
  <c r="L33" i="1"/>
  <c r="X32" i="1"/>
  <c r="Z32" i="1"/>
  <c r="U32" i="1"/>
  <c r="Q32" i="1"/>
  <c r="P32" i="1"/>
  <c r="L32" i="1"/>
  <c r="X31" i="1"/>
  <c r="Z31" i="1"/>
  <c r="U31" i="1"/>
  <c r="Q31" i="1"/>
  <c r="P31" i="1"/>
  <c r="L31" i="1"/>
  <c r="Z30" i="1"/>
  <c r="X30" i="1"/>
  <c r="U30" i="1"/>
  <c r="Q30" i="1"/>
  <c r="P30" i="1"/>
  <c r="L30" i="1"/>
  <c r="X29" i="1"/>
  <c r="Z29" i="1"/>
  <c r="U29" i="1"/>
  <c r="Q29" i="1"/>
  <c r="P29" i="1"/>
  <c r="L29" i="1"/>
  <c r="X28" i="1"/>
  <c r="Z28" i="1"/>
  <c r="U28" i="1"/>
  <c r="Q28" i="1"/>
  <c r="P28" i="1"/>
  <c r="L28" i="1"/>
  <c r="X27" i="1"/>
  <c r="Z27" i="1"/>
  <c r="U27" i="1"/>
  <c r="Q27" i="1"/>
  <c r="P27" i="1"/>
  <c r="L27" i="1"/>
  <c r="Z26" i="1"/>
  <c r="X26" i="1"/>
  <c r="U26" i="1"/>
  <c r="Q26" i="1"/>
  <c r="P26" i="1"/>
  <c r="L26" i="1"/>
  <c r="X25" i="1"/>
  <c r="Z25" i="1"/>
  <c r="U25" i="1"/>
  <c r="Q25" i="1"/>
  <c r="P25" i="1"/>
  <c r="L25" i="1"/>
  <c r="X24" i="1"/>
  <c r="Z24" i="1"/>
  <c r="U24" i="1"/>
  <c r="Q24" i="1"/>
  <c r="P24" i="1"/>
  <c r="L24" i="1"/>
  <c r="X23" i="1"/>
  <c r="Z23" i="1"/>
  <c r="U23" i="1"/>
  <c r="Q23" i="1"/>
  <c r="P23" i="1"/>
  <c r="L23" i="1"/>
  <c r="Z22" i="1"/>
  <c r="X22" i="1"/>
  <c r="U22" i="1"/>
  <c r="Q22" i="1"/>
  <c r="P22" i="1"/>
  <c r="L22" i="1"/>
  <c r="X21" i="1"/>
  <c r="Z21" i="1"/>
  <c r="U21" i="1"/>
  <c r="Q21" i="1"/>
  <c r="P21" i="1"/>
  <c r="L21" i="1"/>
  <c r="X20" i="1"/>
  <c r="Z20" i="1"/>
  <c r="U20" i="1"/>
  <c r="Q20" i="1"/>
  <c r="P20" i="1"/>
  <c r="L20" i="1"/>
  <c r="X19" i="1"/>
  <c r="Z19" i="1"/>
  <c r="U19" i="1"/>
  <c r="Q19" i="1"/>
  <c r="P19" i="1"/>
  <c r="L19" i="1"/>
  <c r="Z18" i="1"/>
  <c r="X18" i="1"/>
  <c r="U18" i="1"/>
  <c r="Q18" i="1"/>
  <c r="P18" i="1"/>
  <c r="L18" i="1"/>
  <c r="X17" i="1"/>
  <c r="Z17" i="1"/>
  <c r="U17" i="1"/>
  <c r="Q17" i="1"/>
  <c r="P17" i="1"/>
  <c r="L17" i="1"/>
  <c r="X16" i="1"/>
  <c r="Z16" i="1"/>
  <c r="U16" i="1"/>
  <c r="Q16" i="1"/>
  <c r="P16" i="1"/>
  <c r="L16" i="1"/>
  <c r="X15" i="1"/>
  <c r="Z15" i="1"/>
  <c r="U15" i="1"/>
  <c r="Q15" i="1"/>
  <c r="P15" i="1"/>
  <c r="L15" i="1"/>
  <c r="Z14" i="1"/>
  <c r="X14" i="1"/>
  <c r="U14" i="1"/>
  <c r="Q14" i="1"/>
  <c r="P14" i="1"/>
  <c r="L14" i="1"/>
  <c r="X13" i="1"/>
  <c r="Z13" i="1"/>
  <c r="U13" i="1"/>
  <c r="Q13" i="1"/>
  <c r="P13" i="1"/>
  <c r="L13" i="1"/>
  <c r="X12" i="1"/>
  <c r="Z12" i="1"/>
  <c r="U12" i="1"/>
  <c r="Q12" i="1"/>
  <c r="P12" i="1"/>
  <c r="L12" i="1"/>
  <c r="X11" i="1"/>
  <c r="Z11" i="1"/>
  <c r="U11" i="1"/>
  <c r="Q11" i="1"/>
  <c r="P11" i="1"/>
  <c r="L11" i="1"/>
  <c r="Z10" i="1"/>
  <c r="X10" i="1"/>
  <c r="U10" i="1"/>
  <c r="Q10" i="1"/>
  <c r="P10" i="1"/>
  <c r="L10" i="1"/>
  <c r="X9" i="1"/>
  <c r="Z9" i="1"/>
  <c r="U9" i="1"/>
  <c r="Q9" i="1"/>
  <c r="P9" i="1"/>
  <c r="L9" i="1"/>
  <c r="X8" i="1"/>
  <c r="Z8" i="1"/>
  <c r="U8" i="1"/>
  <c r="Q8" i="1"/>
  <c r="P8" i="1"/>
  <c r="L8" i="1"/>
  <c r="X7" i="1"/>
  <c r="Z7" i="1"/>
  <c r="U7" i="1"/>
  <c r="Q7" i="1"/>
  <c r="P7" i="1"/>
  <c r="L7" i="1"/>
  <c r="Z6" i="1"/>
  <c r="X6" i="1"/>
  <c r="U6" i="1"/>
  <c r="Q6" i="1"/>
  <c r="P6" i="1"/>
  <c r="L6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X5" i="1"/>
  <c r="Z5" i="1"/>
  <c r="Z62" i="1"/>
  <c r="U5" i="1"/>
  <c r="Q5" i="1"/>
  <c r="R5" i="1"/>
  <c r="P5" i="1"/>
  <c r="L5" i="1"/>
  <c r="Z4" i="1"/>
  <c r="X4" i="1"/>
  <c r="Y4" i="1"/>
  <c r="Y5" i="1"/>
  <c r="Y6" i="1"/>
  <c r="Y7" i="1"/>
  <c r="Y8" i="1"/>
  <c r="Y9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U4" i="1"/>
  <c r="R4" i="1"/>
  <c r="Q4" i="1"/>
  <c r="P4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L4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G4" i="1"/>
  <c r="G5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6" i="1"/>
  <c r="AH5" i="1"/>
  <c r="AH4" i="1"/>
  <c r="J62" i="1"/>
  <c r="X61" i="1"/>
  <c r="Z61" i="1"/>
  <c r="X60" i="1"/>
  <c r="X59" i="1"/>
  <c r="Z59" i="1"/>
  <c r="X58" i="1"/>
  <c r="Z58" i="1"/>
  <c r="AH61" i="1"/>
  <c r="U61" i="1"/>
  <c r="Q61" i="1"/>
  <c r="P61" i="1"/>
  <c r="L61" i="1"/>
  <c r="AH60" i="1"/>
  <c r="U60" i="1"/>
  <c r="Q60" i="1"/>
  <c r="P60" i="1"/>
  <c r="L60" i="1"/>
  <c r="AH59" i="1"/>
  <c r="U59" i="1"/>
  <c r="Q59" i="1"/>
  <c r="P59" i="1"/>
  <c r="L59" i="1"/>
  <c r="AH58" i="1"/>
  <c r="U58" i="1"/>
  <c r="Q58" i="1"/>
  <c r="P58" i="1"/>
  <c r="L58" i="1"/>
  <c r="AH41" i="1"/>
  <c r="AH57" i="1"/>
  <c r="X57" i="1"/>
  <c r="Z57" i="1"/>
  <c r="U57" i="1"/>
  <c r="U62" i="1"/>
  <c r="Q57" i="1"/>
  <c r="P57" i="1"/>
  <c r="L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36" i="1"/>
  <c r="AH37" i="1"/>
  <c r="AH38" i="1"/>
  <c r="AH39" i="1"/>
  <c r="AH40" i="1"/>
  <c r="F62" i="1"/>
  <c r="M62" i="1"/>
  <c r="N62" i="1"/>
  <c r="S62" i="1"/>
  <c r="T62" i="1"/>
  <c r="V62" i="1"/>
  <c r="AA62" i="1"/>
  <c r="AB62" i="1"/>
  <c r="AC62" i="1"/>
  <c r="AD62" i="1"/>
  <c r="AE62" i="1"/>
  <c r="AF62" i="1"/>
  <c r="AG62" i="1"/>
  <c r="Z60" i="1"/>
  <c r="P62" i="1"/>
  <c r="X62" i="1"/>
  <c r="O62" i="1"/>
  <c r="AH62" i="1"/>
  <c r="H5" i="1"/>
  <c r="G6" i="1"/>
  <c r="I5" i="1"/>
  <c r="Q62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L62" i="1"/>
  <c r="I4" i="1"/>
  <c r="H4" i="1"/>
  <c r="K62" i="1"/>
  <c r="H6" i="1"/>
  <c r="I6" i="1"/>
  <c r="G7" i="1"/>
  <c r="H7" i="1"/>
  <c r="I7" i="1"/>
  <c r="G8" i="1"/>
  <c r="G9" i="1"/>
  <c r="I8" i="1"/>
  <c r="H8" i="1"/>
  <c r="I9" i="1"/>
  <c r="H9" i="1"/>
  <c r="G10" i="1"/>
  <c r="I10" i="1"/>
  <c r="G11" i="1"/>
  <c r="H10" i="1"/>
  <c r="I11" i="1"/>
  <c r="G12" i="1"/>
  <c r="H11" i="1"/>
  <c r="H12" i="1"/>
  <c r="G13" i="1"/>
  <c r="I12" i="1"/>
  <c r="H13" i="1"/>
  <c r="G14" i="1"/>
  <c r="I13" i="1"/>
  <c r="H14" i="1"/>
  <c r="I14" i="1"/>
  <c r="G15" i="1"/>
  <c r="H15" i="1"/>
  <c r="I15" i="1"/>
  <c r="G16" i="1"/>
  <c r="G17" i="1"/>
  <c r="I16" i="1"/>
  <c r="H16" i="1"/>
  <c r="I17" i="1"/>
  <c r="H17" i="1"/>
  <c r="G18" i="1"/>
  <c r="I18" i="1"/>
  <c r="G19" i="1"/>
  <c r="H18" i="1"/>
  <c r="I19" i="1"/>
  <c r="G20" i="1"/>
  <c r="H19" i="1"/>
  <c r="H20" i="1"/>
  <c r="G21" i="1"/>
  <c r="I20" i="1"/>
  <c r="H21" i="1"/>
  <c r="G22" i="1"/>
  <c r="I21" i="1"/>
  <c r="H22" i="1"/>
  <c r="I22" i="1"/>
  <c r="G23" i="1"/>
  <c r="H23" i="1"/>
  <c r="I23" i="1"/>
  <c r="G24" i="1"/>
  <c r="G25" i="1"/>
  <c r="I24" i="1"/>
  <c r="H24" i="1"/>
  <c r="I25" i="1"/>
  <c r="H25" i="1"/>
  <c r="G26" i="1"/>
  <c r="I26" i="1"/>
  <c r="G27" i="1"/>
  <c r="H26" i="1"/>
  <c r="I27" i="1"/>
  <c r="G28" i="1"/>
  <c r="H27" i="1"/>
  <c r="H28" i="1"/>
  <c r="G29" i="1"/>
  <c r="I28" i="1"/>
  <c r="H29" i="1"/>
  <c r="G30" i="1"/>
  <c r="I29" i="1"/>
  <c r="H30" i="1"/>
  <c r="I30" i="1"/>
  <c r="G31" i="1"/>
  <c r="H31" i="1"/>
  <c r="I31" i="1"/>
  <c r="G32" i="1"/>
  <c r="G33" i="1"/>
  <c r="I32" i="1"/>
  <c r="H32" i="1"/>
  <c r="I33" i="1"/>
  <c r="H33" i="1"/>
  <c r="G34" i="1"/>
  <c r="I34" i="1"/>
  <c r="G35" i="1"/>
  <c r="H34" i="1"/>
  <c r="I35" i="1"/>
  <c r="H35" i="1"/>
  <c r="G36" i="1"/>
  <c r="H36" i="1"/>
  <c r="G37" i="1"/>
  <c r="I36" i="1"/>
  <c r="H37" i="1"/>
  <c r="G38" i="1"/>
  <c r="I37" i="1"/>
  <c r="H38" i="1"/>
  <c r="I38" i="1"/>
  <c r="G39" i="1"/>
  <c r="H39" i="1"/>
  <c r="I39" i="1"/>
  <c r="G40" i="1"/>
  <c r="G41" i="1"/>
  <c r="I40" i="1"/>
  <c r="H40" i="1"/>
  <c r="I41" i="1"/>
  <c r="H41" i="1"/>
  <c r="G42" i="1"/>
  <c r="I42" i="1"/>
  <c r="G43" i="1"/>
  <c r="H42" i="1"/>
  <c r="I43" i="1"/>
  <c r="H43" i="1"/>
  <c r="G44" i="1"/>
  <c r="H44" i="1"/>
  <c r="G45" i="1"/>
  <c r="I44" i="1"/>
  <c r="H45" i="1"/>
  <c r="G46" i="1"/>
  <c r="I45" i="1"/>
  <c r="H46" i="1"/>
  <c r="I46" i="1"/>
  <c r="G47" i="1"/>
  <c r="H47" i="1"/>
  <c r="I47" i="1"/>
  <c r="G48" i="1"/>
  <c r="G49" i="1"/>
  <c r="I48" i="1"/>
  <c r="H48" i="1"/>
  <c r="I49" i="1"/>
  <c r="H49" i="1"/>
  <c r="G50" i="1"/>
  <c r="I50" i="1"/>
  <c r="G51" i="1"/>
  <c r="H50" i="1"/>
  <c r="I51" i="1"/>
  <c r="H51" i="1"/>
  <c r="G52" i="1"/>
  <c r="H52" i="1"/>
  <c r="G53" i="1"/>
  <c r="I52" i="1"/>
  <c r="H53" i="1"/>
  <c r="G54" i="1"/>
  <c r="I53" i="1"/>
  <c r="H54" i="1"/>
  <c r="I54" i="1"/>
  <c r="G55" i="1"/>
  <c r="H55" i="1"/>
  <c r="I55" i="1"/>
  <c r="G56" i="1"/>
  <c r="I56" i="1"/>
  <c r="G57" i="1"/>
  <c r="H56" i="1"/>
  <c r="G58" i="1"/>
  <c r="H57" i="1"/>
  <c r="I57" i="1"/>
  <c r="I58" i="1"/>
  <c r="G59" i="1"/>
  <c r="H58" i="1"/>
  <c r="G60" i="1"/>
  <c r="I59" i="1"/>
  <c r="H59" i="1"/>
  <c r="G61" i="1"/>
  <c r="I60" i="1"/>
  <c r="H60" i="1"/>
  <c r="H61" i="1"/>
  <c r="I61" i="1"/>
</calcChain>
</file>

<file path=xl/sharedStrings.xml><?xml version="1.0" encoding="utf-8"?>
<sst xmlns="http://schemas.openxmlformats.org/spreadsheetml/2006/main" count="260" uniqueCount="150">
  <si>
    <t>Tag</t>
  </si>
  <si>
    <t>Datum</t>
  </si>
  <si>
    <t>Start</t>
  </si>
  <si>
    <t>Zwischenstationen</t>
  </si>
  <si>
    <t>Ziel</t>
  </si>
  <si>
    <t>Summe</t>
  </si>
  <si>
    <t>11.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</si>
  <si>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</si>
  <si>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</si>
  <si>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</si>
  <si>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</si>
  <si>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</si>
  <si>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</si>
  <si>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</si>
  <si>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</si>
  <si>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</si>
  <si>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</si>
  <si>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</si>
  <si>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</si>
  <si>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</si>
  <si>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</si>
  <si>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</si>
  <si>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</si>
  <si>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</si>
  <si>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</si>
  <si>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</si>
  <si>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</si>
  <si>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</si>
  <si>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</si>
  <si>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</si>
  <si>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</si>
  <si>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</si>
  <si>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</si>
  <si>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</si>
  <si>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12.</t>
  </si>
  <si>
    <t>13.</t>
  </si>
  <si>
    <t>17.</t>
  </si>
  <si>
    <t>18.</t>
  </si>
  <si>
    <t>km/h brutto</t>
  </si>
  <si>
    <t>km/h netto</t>
  </si>
  <si>
    <t>23.</t>
  </si>
  <si>
    <t>24.</t>
  </si>
  <si>
    <t>25.</t>
  </si>
  <si>
    <t>28.</t>
  </si>
  <si>
    <t>29.</t>
  </si>
  <si>
    <t>30.</t>
  </si>
  <si>
    <t>33.</t>
  </si>
  <si>
    <t>34.</t>
  </si>
  <si>
    <t>40.</t>
  </si>
  <si>
    <t>41.</t>
  </si>
  <si>
    <t>46.</t>
  </si>
  <si>
    <t>47.</t>
  </si>
  <si>
    <t>Mainz</t>
  </si>
  <si>
    <t>51.</t>
  </si>
  <si>
    <t>52.</t>
  </si>
  <si>
    <t>54.</t>
  </si>
  <si>
    <t>42.</t>
  </si>
  <si>
    <t>43.</t>
  </si>
  <si>
    <t>44.</t>
  </si>
  <si>
    <t>45.</t>
  </si>
  <si>
    <t>48.</t>
  </si>
  <si>
    <t>49.</t>
  </si>
  <si>
    <t>50.</t>
  </si>
  <si>
    <t>53.</t>
  </si>
  <si>
    <t>55.</t>
  </si>
  <si>
    <t>56.</t>
  </si>
  <si>
    <t>57.</t>
  </si>
  <si>
    <t>58.</t>
  </si>
  <si>
    <t>10.</t>
  </si>
  <si>
    <t>14.</t>
  </si>
  <si>
    <t>15.</t>
  </si>
  <si>
    <t>16.</t>
  </si>
  <si>
    <t>19.</t>
  </si>
  <si>
    <t>20.</t>
  </si>
  <si>
    <t>21.</t>
  </si>
  <si>
    <t>22.</t>
  </si>
  <si>
    <t>26.</t>
  </si>
  <si>
    <t>27.</t>
  </si>
  <si>
    <t>31.</t>
  </si>
  <si>
    <t>32.</t>
  </si>
  <si>
    <t>36.</t>
  </si>
  <si>
    <t>37.</t>
  </si>
  <si>
    <t>38.</t>
  </si>
  <si>
    <t>39.</t>
  </si>
  <si>
    <t>1.</t>
  </si>
  <si>
    <t>2.</t>
  </si>
  <si>
    <t>3.</t>
  </si>
  <si>
    <t>4.</t>
  </si>
  <si>
    <t xml:space="preserve">Bingen </t>
  </si>
  <si>
    <t>5.</t>
  </si>
  <si>
    <t>6.</t>
  </si>
  <si>
    <t>7.</t>
  </si>
  <si>
    <t>8.</t>
  </si>
  <si>
    <t>Wiesbaden</t>
  </si>
  <si>
    <t>9.</t>
  </si>
  <si>
    <t>Essen</t>
  </si>
  <si>
    <t>Budenheim</t>
  </si>
  <si>
    <t>Ingelheim</t>
  </si>
  <si>
    <t>Bad Kreuznach</t>
  </si>
  <si>
    <t>Alsenz - Kaiserslautern - Pirmasens - Grenze D/F</t>
  </si>
  <si>
    <t>Bitche</t>
  </si>
  <si>
    <t>Grenze F/D - Zweibrücken - Homburg - Bad Kreuznach</t>
  </si>
  <si>
    <r>
      <rPr>
        <i/>
        <sz val="10"/>
        <rFont val="Arial"/>
        <family val="2"/>
      </rPr>
      <t>Zug</t>
    </r>
    <r>
      <rPr>
        <sz val="10"/>
        <rFont val="Arial"/>
        <family val="2"/>
      </rPr>
      <t xml:space="preserve"> - Homburg/Saar</t>
    </r>
  </si>
  <si>
    <t>Saarbrücken</t>
  </si>
  <si>
    <t>Dillingen - Metz - Pont-a-Mousson</t>
  </si>
  <si>
    <t>Woinville</t>
  </si>
  <si>
    <r>
      <t xml:space="preserve">Pagny-s-Moselle - </t>
    </r>
    <r>
      <rPr>
        <i/>
        <sz val="10"/>
        <rFont val="Arial"/>
        <family val="2"/>
      </rPr>
      <t>Zug</t>
    </r>
    <r>
      <rPr>
        <sz val="10"/>
        <rFont val="Arial"/>
        <family val="2"/>
      </rPr>
      <t xml:space="preserve"> - Metz - Dillingen - Saarbrücken - </t>
    </r>
    <r>
      <rPr>
        <i/>
        <sz val="10"/>
        <rFont val="Arial"/>
        <family val="2"/>
      </rPr>
      <t>Zug</t>
    </r>
  </si>
  <si>
    <t>Wackernheim</t>
  </si>
  <si>
    <t>Commery - Pagny-s-Meuse - Toul</t>
  </si>
  <si>
    <t>St. Mihiel - Verdun - Lac de Madine</t>
  </si>
  <si>
    <t>Nieder-Olm - Ingelheim - Budenheim</t>
  </si>
  <si>
    <t>Wiesbaden - Ginsheim-Gustavsburg</t>
  </si>
  <si>
    <t>Osnabrück</t>
  </si>
  <si>
    <r>
      <t xml:space="preserve">Vechta - Bremen - </t>
    </r>
    <r>
      <rPr>
        <i/>
        <sz val="10"/>
        <rFont val="Arial"/>
        <family val="2"/>
      </rPr>
      <t>Zug</t>
    </r>
  </si>
  <si>
    <t>Duisburg</t>
  </si>
  <si>
    <t>Oberhausen - Essen - Gelsenkirchen - Herne - Datteln - Münster</t>
  </si>
  <si>
    <r>
      <t xml:space="preserve">Ingelheim  - </t>
    </r>
    <r>
      <rPr>
        <i/>
        <sz val="10"/>
        <color indexed="8"/>
        <rFont val="Arial"/>
        <family val="2"/>
      </rPr>
      <t>Zug</t>
    </r>
    <r>
      <rPr>
        <sz val="10"/>
        <color indexed="8"/>
        <rFont val="Arial"/>
        <family val="2"/>
      </rPr>
      <t xml:space="preserve"> - Staudernheim - Bad Sobernheim - </t>
    </r>
    <r>
      <rPr>
        <i/>
        <sz val="10"/>
        <color indexed="8"/>
        <rFont val="Arial"/>
        <family val="2"/>
      </rPr>
      <t>Zug</t>
    </r>
  </si>
  <si>
    <r>
      <rPr>
        <i/>
        <sz val="10"/>
        <color indexed="8"/>
        <rFont val="Arial"/>
        <family val="2"/>
      </rPr>
      <t>Zug</t>
    </r>
    <r>
      <rPr>
        <sz val="10"/>
        <color indexed="8"/>
        <rFont val="Arial"/>
        <family val="2"/>
      </rPr>
      <t xml:space="preserve"> </t>
    </r>
  </si>
  <si>
    <t>Hünxe -  Datteln - Kamen - Schwerte</t>
  </si>
  <si>
    <r>
      <t xml:space="preserve">Witten -  Bochum - Essen </t>
    </r>
    <r>
      <rPr>
        <i/>
        <sz val="10"/>
        <color indexed="8"/>
        <rFont val="Arial"/>
        <family val="2"/>
      </rPr>
      <t>-  Zug</t>
    </r>
    <r>
      <rPr>
        <sz val="10"/>
        <color indexed="8"/>
        <rFont val="Arial"/>
        <family val="2"/>
      </rPr>
      <t xml:space="preserve"> </t>
    </r>
  </si>
  <si>
    <t>Minden</t>
  </si>
  <si>
    <t>Hannover</t>
  </si>
  <si>
    <t>Nienburg</t>
  </si>
  <si>
    <t>Bad Essen</t>
  </si>
  <si>
    <r>
      <rPr>
        <i/>
        <sz val="10"/>
        <color indexed="8"/>
        <rFont val="Arial"/>
        <family val="2"/>
      </rPr>
      <t>Zug</t>
    </r>
    <r>
      <rPr>
        <sz val="10"/>
        <color indexed="8"/>
        <rFont val="Arial"/>
        <family val="2"/>
      </rPr>
      <t xml:space="preserve"> - Bremen - </t>
    </r>
    <r>
      <rPr>
        <i/>
        <sz val="10"/>
        <color indexed="8"/>
        <rFont val="Arial"/>
        <family val="2"/>
      </rPr>
      <t xml:space="preserve">Zug </t>
    </r>
  </si>
  <si>
    <t>Wiedensahl - Sachsenhagen</t>
  </si>
  <si>
    <t>Wunstorf - Steinhude</t>
  </si>
  <si>
    <t>Nackenheim - Lörzweiler</t>
  </si>
  <si>
    <r>
      <t xml:space="preserve">Ingelheim  - </t>
    </r>
    <r>
      <rPr>
        <i/>
        <sz val="10"/>
        <color indexed="8"/>
        <rFont val="Arial"/>
        <family val="2"/>
      </rPr>
      <t>Zug</t>
    </r>
    <r>
      <rPr>
        <sz val="10"/>
        <color indexed="8"/>
        <rFont val="Arial"/>
        <family val="2"/>
      </rPr>
      <t xml:space="preserve"> - Bad Sobernheim - </t>
    </r>
    <r>
      <rPr>
        <i/>
        <sz val="10"/>
        <color indexed="8"/>
        <rFont val="Arial"/>
        <family val="2"/>
      </rPr>
      <t xml:space="preserve">Zug - </t>
    </r>
    <r>
      <rPr>
        <sz val="10"/>
        <color indexed="8"/>
        <rFont val="Arial"/>
        <family val="2"/>
      </rPr>
      <t xml:space="preserve">Ingelheim </t>
    </r>
  </si>
  <si>
    <t>Dortmund</t>
  </si>
  <si>
    <t>Ober-Olm</t>
  </si>
  <si>
    <t>Höllenberg</t>
  </si>
  <si>
    <t>Wachenheim</t>
  </si>
  <si>
    <t>Bad Dürkheim - Worms - Gustavsburg</t>
  </si>
  <si>
    <r>
      <t xml:space="preserve">Zug - </t>
    </r>
    <r>
      <rPr>
        <sz val="10"/>
        <color indexed="8"/>
        <rFont val="Arial"/>
        <family val="2"/>
      </rPr>
      <t>Wattenscheid</t>
    </r>
  </si>
  <si>
    <t>Bonn</t>
  </si>
  <si>
    <r>
      <rPr>
        <i/>
        <sz val="10"/>
        <rFont val="Arial"/>
        <family val="2"/>
      </rPr>
      <t>Zug</t>
    </r>
    <r>
      <rPr>
        <sz val="10"/>
        <rFont val="Arial"/>
        <family val="2"/>
      </rPr>
      <t xml:space="preserve"> - Mainz - </t>
    </r>
    <r>
      <rPr>
        <i/>
        <sz val="10"/>
        <rFont val="Arial"/>
        <family val="2"/>
      </rPr>
      <t>Zug</t>
    </r>
    <r>
      <rPr>
        <sz val="10"/>
        <rFont val="Arial"/>
        <family val="2"/>
      </rPr>
      <t xml:space="preserve"> - Frankenthal - Bad Dürkheim</t>
    </r>
  </si>
  <si>
    <t>Flörsheim</t>
  </si>
  <si>
    <t>Klein-Winternheim</t>
  </si>
  <si>
    <t>Essen- Zug - Kamen - Zug - Mönchengladbach - Auto - Bonn</t>
  </si>
  <si>
    <t>Mainz - Zug - Essen</t>
  </si>
  <si>
    <r>
      <t xml:space="preserve">Duisburg - Düsseldorf - </t>
    </r>
    <r>
      <rPr>
        <i/>
        <sz val="10"/>
        <color indexed="8"/>
        <rFont val="Arial"/>
        <family val="2"/>
      </rPr>
      <t>Zug</t>
    </r>
    <r>
      <rPr>
        <sz val="10"/>
        <color indexed="8"/>
        <rFont val="Arial"/>
        <family val="2"/>
      </rPr>
      <t xml:space="preserve"> - Koblenz - St. Goar - </t>
    </r>
    <r>
      <rPr>
        <i/>
        <sz val="10"/>
        <color indexed="8"/>
        <rFont val="Arial"/>
        <family val="2"/>
      </rPr>
      <t>Zug</t>
    </r>
  </si>
  <si>
    <r>
      <rPr>
        <i/>
        <sz val="10"/>
        <rFont val="Arial"/>
        <family val="2"/>
      </rPr>
      <t>Zug</t>
    </r>
    <r>
      <rPr>
        <sz val="10"/>
        <rFont val="Arial"/>
        <family val="2"/>
      </rPr>
      <t xml:space="preserve"> - Düsseldorf</t>
    </r>
  </si>
  <si>
    <r>
      <t xml:space="preserve">St. Goar - </t>
    </r>
    <r>
      <rPr>
        <i/>
        <sz val="10"/>
        <color indexed="8"/>
        <rFont val="Arial"/>
        <family val="2"/>
      </rPr>
      <t>Zug</t>
    </r>
  </si>
  <si>
    <t>Düsseldorf</t>
  </si>
  <si>
    <t>Bremen - Verdun (23.5.-19.7.2025)</t>
  </si>
  <si>
    <r>
      <t>Statistik</t>
    </r>
    <r>
      <rPr>
        <b/>
        <sz val="20"/>
        <rFont val="Arial"/>
        <family val="2"/>
      </rPr>
      <t xml:space="preserve"> Bremen - Verdun (23.5.-19.7.2025)</t>
    </r>
  </si>
  <si>
    <r>
      <rPr>
        <i/>
        <sz val="10"/>
        <color indexed="8"/>
        <rFont val="Arial"/>
        <family val="2"/>
      </rPr>
      <t>Zug</t>
    </r>
    <r>
      <rPr>
        <sz val="10"/>
        <color indexed="8"/>
        <rFont val="Arial"/>
        <family val="2"/>
      </rPr>
      <t xml:space="preserve"> - Koblenz - St. Goar - </t>
    </r>
    <r>
      <rPr>
        <i/>
        <sz val="10"/>
        <color indexed="8"/>
        <rFont val="Arial"/>
        <family val="2"/>
      </rPr>
      <t>Zug</t>
    </r>
  </si>
  <si>
    <r>
      <t xml:space="preserve">Köln-Deutz - Bonn - Remagen - </t>
    </r>
    <r>
      <rPr>
        <i/>
        <sz val="10"/>
        <rFont val="Arial"/>
        <family val="2"/>
      </rPr>
      <t>Zug</t>
    </r>
    <r>
      <rPr>
        <sz val="10"/>
        <rFont val="Arial"/>
        <family val="2"/>
      </rPr>
      <t xml:space="preserve"> - Bingen - </t>
    </r>
  </si>
  <si>
    <t>Ockenheim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</si>
</sst>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27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8" fillId="0" borderId="3" xfId="0" applyFont="1" applyBorder="1"/>
    <xf numFmtId="0" fontId="0" fillId="0" borderId="4" xfId="0" applyBorder="1"/>
    <xf numFmtId="0" fontId="8" fillId="0" borderId="0" xfId="0" applyFont="1" applyBorder="1"/>
    <xf numFmtId="0" fontId="8" fillId="0" borderId="5" xfId="0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180" fontId="8" fillId="0" borderId="0" xfId="0" applyNumberFormat="1" applyFont="1" applyBorder="1"/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180" fontId="1" fillId="0" borderId="1" xfId="0" applyNumberFormat="1" applyFont="1" applyBorder="1" applyAlignment="1">
      <alignment horizontal="right" vertical="center" wrapText="1"/>
    </xf>
    <xf numFmtId="177" fontId="4" fillId="0" borderId="0" xfId="0" applyNumberFormat="1" applyFont="1" applyBorder="1"/>
    <xf numFmtId="0" fontId="23" fillId="0" borderId="1" xfId="0" applyFont="1" applyBorder="1" applyAlignment="1">
      <alignment horizontal="right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80" fontId="8" fillId="0" borderId="0" xfId="0" applyNumberFormat="1" applyFont="1"/>
    <xf numFmtId="180" fontId="0" fillId="0" borderId="0" xfId="0" applyNumberFormat="1"/>
    <xf numFmtId="177" fontId="0" fillId="0" borderId="0" xfId="0" applyNumberFormat="1"/>
    <xf numFmtId="0" fontId="4" fillId="0" borderId="0" xfId="0" applyFont="1" applyFill="1" applyBorder="1"/>
    <xf numFmtId="177" fontId="8" fillId="0" borderId="0" xfId="0" applyNumberFormat="1" applyFont="1"/>
    <xf numFmtId="0" fontId="8" fillId="0" borderId="0" xfId="0" applyFont="1"/>
    <xf numFmtId="0" fontId="4" fillId="0" borderId="1" xfId="0" applyFont="1" applyBorder="1" applyAlignment="1">
      <alignment horizontal="right"/>
    </xf>
    <xf numFmtId="0" fontId="1" fillId="0" borderId="0" xfId="0" applyFont="1"/>
    <xf numFmtId="0" fontId="4" fillId="0" borderId="0" xfId="0" applyFont="1"/>
    <xf numFmtId="0" fontId="0" fillId="0" borderId="0" xfId="0" applyFont="1" applyFill="1" applyBorder="1"/>
    <xf numFmtId="0" fontId="23" fillId="0" borderId="6" xfId="0" applyFont="1" applyFill="1" applyBorder="1" applyAlignment="1">
      <alignment horizontal="righ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right" vertical="center" wrapText="1"/>
    </xf>
    <xf numFmtId="0" fontId="26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right"/>
    </xf>
    <xf numFmtId="0" fontId="2" fillId="0" borderId="0" xfId="0" applyFont="1"/>
    <xf numFmtId="14" fontId="8" fillId="0" borderId="0" xfId="0" applyNumberFormat="1" applyFont="1"/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2">
    <cellStyle name="Standard" xfId="0" builtinId="0"/>
    <cellStyle name="Standard 2" xfId="1" xr:uid="{A787DAEE-B016-4E48-AAC7-55022C9F7C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54AAF-85A2-4340-8250-864D871F0627}">
  <sheetPr codeName="Tabelle1"/>
  <dimension ref="A1:AH94"/>
  <sheetViews>
    <sheetView tabSelected="1" topLeftCell="A44" zoomScaleNormal="100" workbookViewId="0">
      <selection activeCell="D61" sqref="D61"/>
    </sheetView>
  </sheetViews>
  <sheetFormatPr baseColWidth="10" defaultRowHeight="12.5"/>
  <cols>
    <col min="1" max="1" width="11.1796875" customWidth="1"/>
    <col min="2" max="2" width="15.1796875" customWidth="1"/>
    <col min="3" max="3" width="23.81640625" customWidth="1"/>
    <col min="4" max="4" width="60.1796875" customWidth="1"/>
    <col min="5" max="5" width="24.453125" customWidth="1"/>
    <col min="6" max="7" width="6.453125" customWidth="1"/>
    <col min="8" max="8" width="4.1796875" customWidth="1"/>
    <col min="9" max="9" width="3.81640625" customWidth="1"/>
    <col min="10" max="10" width="6.6328125" customWidth="1"/>
    <col min="11" max="11" width="6.90625" customWidth="1"/>
    <col min="12" max="12" width="5.54296875" customWidth="1"/>
    <col min="13" max="13" width="5.453125" customWidth="1"/>
    <col min="14" max="14" width="6.54296875" customWidth="1"/>
    <col min="15" max="16" width="6.81640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1796875" customWidth="1"/>
    <col min="24" max="24" width="5.81640625" customWidth="1"/>
    <col min="25" max="25" width="6.1796875" customWidth="1"/>
    <col min="26" max="26" width="5.81640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3" width="3.1796875" customWidth="1"/>
    <col min="34" max="34" width="3.54296875" customWidth="1"/>
  </cols>
  <sheetData>
    <row r="1" spans="1:34" ht="26.25" customHeight="1">
      <c r="A1" s="69" t="s">
        <v>145</v>
      </c>
      <c r="B1" s="70"/>
      <c r="C1" s="70"/>
      <c r="D1" s="70"/>
      <c r="E1" s="70"/>
      <c r="F1" s="71"/>
      <c r="G1" s="73" t="s">
        <v>146</v>
      </c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5"/>
    </row>
    <row r="2" spans="1:34">
      <c r="A2" s="72"/>
      <c r="B2" s="72"/>
      <c r="C2" s="72"/>
      <c r="D2" s="72"/>
      <c r="E2" s="72"/>
      <c r="F2" s="72"/>
      <c r="G2" s="5"/>
      <c r="H2" s="6"/>
      <c r="I2" s="6"/>
      <c r="J2" s="6"/>
      <c r="K2" s="6"/>
      <c r="L2" s="6"/>
      <c r="M2" s="6"/>
      <c r="N2" s="5"/>
      <c r="O2" s="5"/>
      <c r="P2" s="5"/>
      <c r="Q2" s="5"/>
      <c r="R2" s="10"/>
      <c r="S2" s="5"/>
      <c r="T2" s="5"/>
      <c r="U2" s="7"/>
      <c r="V2" s="7"/>
      <c r="W2" s="7"/>
      <c r="X2" s="8"/>
      <c r="Y2" s="7"/>
      <c r="Z2" s="9"/>
      <c r="AA2" s="9"/>
      <c r="AB2" s="9"/>
      <c r="AC2" s="9"/>
      <c r="AD2" s="9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21</v>
      </c>
      <c r="G3" s="20" t="s">
        <v>25</v>
      </c>
      <c r="H3" s="20" t="s">
        <v>22</v>
      </c>
      <c r="I3" s="20" t="s">
        <v>23</v>
      </c>
      <c r="J3" s="20" t="s">
        <v>7</v>
      </c>
      <c r="K3" s="21" t="s">
        <v>31</v>
      </c>
      <c r="L3" s="20" t="s">
        <v>39</v>
      </c>
      <c r="M3" s="20" t="s">
        <v>24</v>
      </c>
      <c r="N3" s="20" t="s">
        <v>13</v>
      </c>
      <c r="O3" s="21" t="s">
        <v>32</v>
      </c>
      <c r="P3" s="20" t="s">
        <v>38</v>
      </c>
      <c r="Q3" s="20" t="s">
        <v>14</v>
      </c>
      <c r="R3" s="21" t="s">
        <v>33</v>
      </c>
      <c r="S3" s="20" t="s">
        <v>8</v>
      </c>
      <c r="T3" s="20" t="s">
        <v>9</v>
      </c>
      <c r="U3" s="20" t="s">
        <v>30</v>
      </c>
      <c r="V3" s="20" t="s">
        <v>11</v>
      </c>
      <c r="W3" s="21" t="s">
        <v>26</v>
      </c>
      <c r="X3" s="20" t="s">
        <v>12</v>
      </c>
      <c r="Y3" s="21" t="s">
        <v>28</v>
      </c>
      <c r="Z3" s="21" t="s">
        <v>29</v>
      </c>
      <c r="AA3" s="20" t="s">
        <v>10</v>
      </c>
      <c r="AB3" s="22" t="s">
        <v>17</v>
      </c>
      <c r="AC3" s="22" t="s">
        <v>18</v>
      </c>
      <c r="AD3" s="22" t="s">
        <v>19</v>
      </c>
      <c r="AE3" s="22" t="s">
        <v>20</v>
      </c>
      <c r="AF3" s="23" t="s">
        <v>16</v>
      </c>
      <c r="AG3" s="23" t="s">
        <v>15</v>
      </c>
      <c r="AH3" s="23" t="s">
        <v>27</v>
      </c>
    </row>
    <row r="4" spans="1:34" ht="13">
      <c r="A4" s="49" t="s">
        <v>84</v>
      </c>
      <c r="B4" s="45">
        <v>45800</v>
      </c>
      <c r="C4" s="46" t="s">
        <v>52</v>
      </c>
      <c r="D4" s="49" t="s">
        <v>97</v>
      </c>
      <c r="E4" s="48" t="s">
        <v>98</v>
      </c>
      <c r="F4" s="56">
        <v>49</v>
      </c>
      <c r="G4" s="13">
        <f t="shared" ref="G4:G18" si="0">SUM(G3,F4)</f>
        <v>49</v>
      </c>
      <c r="H4" s="11">
        <f>ROUND(PRODUCT(G4/1),0)</f>
        <v>49</v>
      </c>
      <c r="I4" s="11">
        <f>ROUND(PRODUCT(G4/COUNT(F4:F4)),0)</f>
        <v>49</v>
      </c>
      <c r="J4" s="52">
        <v>0.1111111111111111</v>
      </c>
      <c r="K4" s="54">
        <f t="shared" ref="K4:K18" si="1">SUM(J4,K3)</f>
        <v>0.1111111111111111</v>
      </c>
      <c r="L4" s="50">
        <f t="shared" ref="L4:L19" si="2">IF(F4=0,0,ROUND(PRODUCT(F4/SUM(HOUR(J4),PRODUCT(MINUTE(J4)/60))),1))</f>
        <v>18.399999999999999</v>
      </c>
      <c r="M4" s="51">
        <v>41.5</v>
      </c>
      <c r="N4" s="52">
        <v>0.125</v>
      </c>
      <c r="O4" s="54">
        <f t="shared" ref="O4:O18" si="3">SUM(N4,O3)</f>
        <v>0.125</v>
      </c>
      <c r="P4" s="50">
        <f t="shared" ref="P4:P19" si="4">IF(F4=0,0,ROUND(PRODUCT(F4/SUM(HOUR(N4),PRODUCT(MINUTE(N4)/60))),1))</f>
        <v>16.3</v>
      </c>
      <c r="Q4" s="54">
        <f t="shared" ref="Q4:Q19" si="5">SUM(N4,-J4)</f>
        <v>1.3888888888888895E-2</v>
      </c>
      <c r="R4" s="54">
        <f t="shared" ref="R4:R18" si="6">SUM(Q4,R3)</f>
        <v>1.3888888888888895E-2</v>
      </c>
      <c r="S4">
        <v>120</v>
      </c>
      <c r="T4">
        <v>240</v>
      </c>
      <c r="U4" s="55">
        <f t="shared" ref="U4:U18" si="7">SUM(-S4,T4)</f>
        <v>120</v>
      </c>
      <c r="V4">
        <v>270</v>
      </c>
      <c r="W4" s="55">
        <f t="shared" ref="W4:W18" si="8">SUM(W3,V4)</f>
        <v>270</v>
      </c>
      <c r="X4">
        <f t="shared" ref="X4:X19" si="9">SUM(S4,-T4,V4)</f>
        <v>150</v>
      </c>
      <c r="Y4" s="55">
        <f t="shared" ref="Y4:Y18" si="10">SUM(Y3,X4)</f>
        <v>150</v>
      </c>
      <c r="Z4" s="55">
        <f t="shared" ref="Z4:Z19" si="11">SUM(V4,-X4)</f>
        <v>120</v>
      </c>
      <c r="AA4">
        <v>240</v>
      </c>
      <c r="AB4" s="11"/>
      <c r="AC4" s="11"/>
      <c r="AD4" s="11"/>
      <c r="AE4" s="11"/>
      <c r="AF4" s="11"/>
      <c r="AG4" s="11"/>
      <c r="AH4" s="12">
        <f>SUM(AG4,-AF4)</f>
        <v>0</v>
      </c>
    </row>
    <row r="5" spans="1:34" ht="13">
      <c r="A5" s="49" t="s">
        <v>85</v>
      </c>
      <c r="B5" s="45">
        <v>45801</v>
      </c>
      <c r="C5" s="46" t="s">
        <v>98</v>
      </c>
      <c r="D5" s="49" t="s">
        <v>99</v>
      </c>
      <c r="E5" s="48" t="s">
        <v>100</v>
      </c>
      <c r="F5" s="46">
        <v>144</v>
      </c>
      <c r="G5" s="13">
        <f t="shared" si="0"/>
        <v>193</v>
      </c>
      <c r="H5">
        <f>ROUND(PRODUCT(G5/2),0)</f>
        <v>97</v>
      </c>
      <c r="I5">
        <f>ROUND(PRODUCT(G5/COUNT(F4:F5)),0)</f>
        <v>97</v>
      </c>
      <c r="J5" s="52">
        <v>0.35972222222222222</v>
      </c>
      <c r="K5" s="54">
        <f t="shared" si="1"/>
        <v>0.47083333333333333</v>
      </c>
      <c r="L5" s="50">
        <f t="shared" si="2"/>
        <v>16.7</v>
      </c>
      <c r="M5" s="51">
        <v>44</v>
      </c>
      <c r="N5" s="52">
        <v>0.45208333333333334</v>
      </c>
      <c r="O5" s="54">
        <f t="shared" si="3"/>
        <v>0.57708333333333339</v>
      </c>
      <c r="P5" s="50">
        <f t="shared" si="4"/>
        <v>13.3</v>
      </c>
      <c r="Q5" s="54">
        <f t="shared" si="5"/>
        <v>9.2361111111111116E-2</v>
      </c>
      <c r="R5" s="54">
        <f t="shared" si="6"/>
        <v>0.10625000000000001</v>
      </c>
      <c r="S5">
        <v>240</v>
      </c>
      <c r="T5">
        <v>303</v>
      </c>
      <c r="U5" s="55">
        <f t="shared" si="7"/>
        <v>63</v>
      </c>
      <c r="V5">
        <v>1400</v>
      </c>
      <c r="W5" s="55">
        <f t="shared" si="8"/>
        <v>1670</v>
      </c>
      <c r="X5">
        <f t="shared" si="9"/>
        <v>1337</v>
      </c>
      <c r="Y5" s="55">
        <f t="shared" si="10"/>
        <v>1487</v>
      </c>
      <c r="Z5" s="55">
        <f t="shared" si="11"/>
        <v>63</v>
      </c>
      <c r="AA5">
        <v>460</v>
      </c>
      <c r="AC5" s="55"/>
      <c r="AE5" s="55"/>
      <c r="AF5" s="55"/>
      <c r="AG5" s="55"/>
      <c r="AH5" s="15">
        <f>SUM(AG5,-AF5)</f>
        <v>0</v>
      </c>
    </row>
    <row r="6" spans="1:34" ht="13">
      <c r="A6" s="49" t="s">
        <v>86</v>
      </c>
      <c r="B6" s="45">
        <v>45802</v>
      </c>
      <c r="C6" s="46" t="s">
        <v>100</v>
      </c>
      <c r="D6" s="49" t="s">
        <v>101</v>
      </c>
      <c r="E6" s="48" t="s">
        <v>52</v>
      </c>
      <c r="F6" s="46">
        <v>193</v>
      </c>
      <c r="G6" s="13">
        <f t="shared" si="0"/>
        <v>386</v>
      </c>
      <c r="H6">
        <f>ROUND(PRODUCT(G6/3),0)</f>
        <v>129</v>
      </c>
      <c r="I6">
        <f>ROUND(PRODUCT(G6/COUNT(F4:F6)),0)</f>
        <v>129</v>
      </c>
      <c r="J6" s="52">
        <v>0.3888888888888889</v>
      </c>
      <c r="K6" s="54">
        <f t="shared" si="1"/>
        <v>0.85972222222222228</v>
      </c>
      <c r="L6" s="50">
        <f t="shared" si="2"/>
        <v>20.7</v>
      </c>
      <c r="M6" s="51">
        <v>44</v>
      </c>
      <c r="N6" s="52">
        <v>0.44027777777777777</v>
      </c>
      <c r="O6" s="54">
        <f t="shared" si="3"/>
        <v>1.0173611111111112</v>
      </c>
      <c r="P6" s="50">
        <f t="shared" si="4"/>
        <v>18.3</v>
      </c>
      <c r="Q6" s="54">
        <f t="shared" si="5"/>
        <v>5.1388888888888873E-2</v>
      </c>
      <c r="R6" s="54">
        <f t="shared" si="6"/>
        <v>0.15763888888888888</v>
      </c>
      <c r="S6">
        <v>303</v>
      </c>
      <c r="T6">
        <v>120</v>
      </c>
      <c r="U6" s="55">
        <f t="shared" si="7"/>
        <v>-183</v>
      </c>
      <c r="V6">
        <v>1000</v>
      </c>
      <c r="W6" s="55">
        <f t="shared" si="8"/>
        <v>2670</v>
      </c>
      <c r="X6">
        <f t="shared" si="9"/>
        <v>1183</v>
      </c>
      <c r="Y6" s="55">
        <f t="shared" si="10"/>
        <v>2670</v>
      </c>
      <c r="Z6" s="55">
        <f t="shared" si="11"/>
        <v>-183</v>
      </c>
      <c r="AA6">
        <v>390</v>
      </c>
      <c r="AC6" s="55"/>
      <c r="AE6" s="55"/>
      <c r="AF6" s="55"/>
      <c r="AG6" s="55"/>
      <c r="AH6" s="15">
        <f t="shared" ref="AH6:AH35" si="12">SUM(AG6,-AF6)</f>
        <v>0</v>
      </c>
    </row>
    <row r="7" spans="1:34" ht="13">
      <c r="A7" s="49" t="s">
        <v>87</v>
      </c>
      <c r="B7" s="45">
        <v>45803</v>
      </c>
      <c r="C7" s="46" t="s">
        <v>52</v>
      </c>
      <c r="D7" s="49" t="s">
        <v>96</v>
      </c>
      <c r="E7" s="48" t="s">
        <v>52</v>
      </c>
      <c r="F7" s="46">
        <v>26</v>
      </c>
      <c r="G7" s="13">
        <f t="shared" si="0"/>
        <v>412</v>
      </c>
      <c r="H7">
        <f>ROUND(PRODUCT(G7/4),0)</f>
        <v>103</v>
      </c>
      <c r="I7">
        <f>ROUND(PRODUCT(G7/COUNT(F4:F7)),0)</f>
        <v>103</v>
      </c>
      <c r="J7" s="52">
        <v>5.9027777777777776E-2</v>
      </c>
      <c r="K7" s="54">
        <f t="shared" si="1"/>
        <v>0.91875000000000007</v>
      </c>
      <c r="L7" s="50">
        <f t="shared" si="2"/>
        <v>18.399999999999999</v>
      </c>
      <c r="M7" s="51">
        <v>34</v>
      </c>
      <c r="N7" s="52">
        <v>8.3333333333333329E-2</v>
      </c>
      <c r="O7" s="54">
        <f t="shared" si="3"/>
        <v>1.1006944444444444</v>
      </c>
      <c r="P7" s="50">
        <f t="shared" si="4"/>
        <v>13</v>
      </c>
      <c r="Q7" s="54">
        <f t="shared" si="5"/>
        <v>2.4305555555555552E-2</v>
      </c>
      <c r="R7" s="54">
        <f t="shared" si="6"/>
        <v>0.18194444444444444</v>
      </c>
      <c r="S7">
        <v>120</v>
      </c>
      <c r="T7">
        <v>120</v>
      </c>
      <c r="U7" s="55">
        <f t="shared" si="7"/>
        <v>0</v>
      </c>
      <c r="V7">
        <v>230</v>
      </c>
      <c r="W7" s="55">
        <f t="shared" si="8"/>
        <v>2900</v>
      </c>
      <c r="X7">
        <f t="shared" si="9"/>
        <v>230</v>
      </c>
      <c r="Y7" s="55">
        <f t="shared" si="10"/>
        <v>2900</v>
      </c>
      <c r="Z7" s="55">
        <f t="shared" si="11"/>
        <v>0</v>
      </c>
      <c r="AA7">
        <v>220</v>
      </c>
      <c r="AC7" s="55"/>
      <c r="AE7" s="55"/>
      <c r="AF7" s="55"/>
      <c r="AG7" s="55"/>
      <c r="AH7" s="15">
        <f t="shared" si="12"/>
        <v>0</v>
      </c>
    </row>
    <row r="8" spans="1:34" ht="13">
      <c r="A8" s="49" t="s">
        <v>89</v>
      </c>
      <c r="B8" s="45">
        <v>45804</v>
      </c>
      <c r="C8" s="46" t="s">
        <v>52</v>
      </c>
      <c r="D8" s="49" t="s">
        <v>96</v>
      </c>
      <c r="E8" s="48" t="s">
        <v>52</v>
      </c>
      <c r="F8" s="46">
        <v>25</v>
      </c>
      <c r="G8" s="13">
        <f t="shared" si="0"/>
        <v>437</v>
      </c>
      <c r="H8">
        <f>ROUND(PRODUCT(G8/5),0)</f>
        <v>87</v>
      </c>
      <c r="I8">
        <f>ROUND(PRODUCT(G8/COUNT(F4:F8)),0)</f>
        <v>87</v>
      </c>
      <c r="J8" s="52">
        <v>5.9027777777777776E-2</v>
      </c>
      <c r="K8" s="54">
        <f t="shared" si="1"/>
        <v>0.97777777777777786</v>
      </c>
      <c r="L8" s="50">
        <f t="shared" si="2"/>
        <v>17.600000000000001</v>
      </c>
      <c r="M8" s="51">
        <v>34</v>
      </c>
      <c r="N8" s="52">
        <v>8.3333333333333329E-2</v>
      </c>
      <c r="O8" s="54">
        <f t="shared" si="3"/>
        <v>1.1840277777777777</v>
      </c>
      <c r="P8" s="50">
        <f t="shared" si="4"/>
        <v>12.5</v>
      </c>
      <c r="Q8" s="54">
        <f t="shared" si="5"/>
        <v>2.4305555555555552E-2</v>
      </c>
      <c r="R8" s="54">
        <f t="shared" si="6"/>
        <v>0.20624999999999999</v>
      </c>
      <c r="S8">
        <v>120</v>
      </c>
      <c r="T8">
        <v>120</v>
      </c>
      <c r="U8" s="55">
        <f t="shared" si="7"/>
        <v>0</v>
      </c>
      <c r="V8">
        <v>230</v>
      </c>
      <c r="W8" s="55">
        <f t="shared" si="8"/>
        <v>3130</v>
      </c>
      <c r="X8">
        <f t="shared" si="9"/>
        <v>230</v>
      </c>
      <c r="Y8" s="55">
        <f t="shared" si="10"/>
        <v>3130</v>
      </c>
      <c r="Z8" s="55">
        <f t="shared" si="11"/>
        <v>0</v>
      </c>
      <c r="AA8">
        <v>220</v>
      </c>
      <c r="AC8" s="55"/>
      <c r="AE8" s="55"/>
      <c r="AF8" s="55"/>
      <c r="AG8" s="55"/>
      <c r="AH8" s="15">
        <f t="shared" si="12"/>
        <v>0</v>
      </c>
    </row>
    <row r="9" spans="1:34" ht="13">
      <c r="A9" s="49" t="s">
        <v>90</v>
      </c>
      <c r="B9" s="45">
        <v>45805</v>
      </c>
      <c r="C9" s="46" t="s">
        <v>52</v>
      </c>
      <c r="D9" s="49" t="s">
        <v>102</v>
      </c>
      <c r="E9" s="48" t="s">
        <v>103</v>
      </c>
      <c r="F9" s="46">
        <v>47</v>
      </c>
      <c r="G9" s="13">
        <f t="shared" si="0"/>
        <v>484</v>
      </c>
      <c r="H9">
        <f>ROUND(PRODUCT(G9/6),0)</f>
        <v>81</v>
      </c>
      <c r="I9">
        <f>ROUND(PRODUCT(G9/COUNT(F4:F9)),0)</f>
        <v>81</v>
      </c>
      <c r="J9" s="52">
        <v>0.11458333333333333</v>
      </c>
      <c r="K9" s="54">
        <f t="shared" si="1"/>
        <v>1.0923611111111111</v>
      </c>
      <c r="L9" s="50">
        <f t="shared" si="2"/>
        <v>17.100000000000001</v>
      </c>
      <c r="M9" s="51">
        <v>44</v>
      </c>
      <c r="N9" s="52">
        <v>0.16666666666666666</v>
      </c>
      <c r="O9" s="54">
        <f t="shared" si="3"/>
        <v>1.3506944444444444</v>
      </c>
      <c r="P9" s="50">
        <f t="shared" si="4"/>
        <v>11.8</v>
      </c>
      <c r="Q9" s="54">
        <f t="shared" si="5"/>
        <v>5.2083333333333329E-2</v>
      </c>
      <c r="R9" s="54">
        <f t="shared" si="6"/>
        <v>0.2583333333333333</v>
      </c>
      <c r="S9">
        <v>120</v>
      </c>
      <c r="T9">
        <v>210</v>
      </c>
      <c r="U9" s="55">
        <f t="shared" si="7"/>
        <v>90</v>
      </c>
      <c r="V9">
        <v>310</v>
      </c>
      <c r="W9" s="55">
        <f t="shared" si="8"/>
        <v>3440</v>
      </c>
      <c r="X9">
        <f t="shared" si="9"/>
        <v>220</v>
      </c>
      <c r="Y9" s="55">
        <f t="shared" si="10"/>
        <v>3350</v>
      </c>
      <c r="Z9" s="55">
        <f t="shared" si="11"/>
        <v>90</v>
      </c>
      <c r="AA9">
        <v>285</v>
      </c>
      <c r="AC9" s="55"/>
      <c r="AE9" s="55"/>
      <c r="AF9" s="55"/>
      <c r="AG9" s="55"/>
      <c r="AH9" s="15">
        <f t="shared" si="12"/>
        <v>0</v>
      </c>
    </row>
    <row r="10" spans="1:34" ht="13">
      <c r="A10" s="49" t="s">
        <v>91</v>
      </c>
      <c r="B10" s="45">
        <v>45806</v>
      </c>
      <c r="C10" s="46" t="s">
        <v>103</v>
      </c>
      <c r="D10" s="49" t="s">
        <v>104</v>
      </c>
      <c r="E10" s="48" t="s">
        <v>105</v>
      </c>
      <c r="F10" s="46">
        <v>166</v>
      </c>
      <c r="G10" s="13">
        <f t="shared" si="0"/>
        <v>650</v>
      </c>
      <c r="H10">
        <f>ROUND(PRODUCT(G10/7),0)</f>
        <v>93</v>
      </c>
      <c r="I10">
        <f>ROUND(PRODUCT(G10/COUNT(F4:F10)),0)</f>
        <v>93</v>
      </c>
      <c r="J10" s="52">
        <v>0.375</v>
      </c>
      <c r="K10" s="54">
        <f t="shared" si="1"/>
        <v>1.4673611111111111</v>
      </c>
      <c r="L10" s="50">
        <f t="shared" si="2"/>
        <v>18.399999999999999</v>
      </c>
      <c r="M10" s="51">
        <v>54</v>
      </c>
      <c r="N10" s="52">
        <v>0.47916666666666669</v>
      </c>
      <c r="O10" s="54">
        <f t="shared" si="3"/>
        <v>1.8298611111111112</v>
      </c>
      <c r="P10" s="50">
        <f t="shared" si="4"/>
        <v>14.4</v>
      </c>
      <c r="Q10" s="54">
        <f t="shared" si="5"/>
        <v>0.10416666666666669</v>
      </c>
      <c r="R10" s="54">
        <f t="shared" si="6"/>
        <v>0.36249999999999999</v>
      </c>
      <c r="S10">
        <v>210</v>
      </c>
      <c r="T10">
        <v>280</v>
      </c>
      <c r="U10" s="55">
        <f t="shared" si="7"/>
        <v>70</v>
      </c>
      <c r="V10">
        <v>1095</v>
      </c>
      <c r="W10" s="55">
        <f t="shared" si="8"/>
        <v>4535</v>
      </c>
      <c r="X10">
        <f t="shared" si="9"/>
        <v>1025</v>
      </c>
      <c r="Y10" s="55">
        <f t="shared" si="10"/>
        <v>4375</v>
      </c>
      <c r="Z10" s="55">
        <f t="shared" si="11"/>
        <v>70</v>
      </c>
      <c r="AA10">
        <v>360</v>
      </c>
      <c r="AC10" s="55"/>
      <c r="AE10" s="55"/>
      <c r="AF10" s="55"/>
      <c r="AG10" s="55"/>
      <c r="AH10" s="15">
        <f t="shared" si="12"/>
        <v>0</v>
      </c>
    </row>
    <row r="11" spans="1:34" ht="13">
      <c r="A11" s="49" t="s">
        <v>92</v>
      </c>
      <c r="B11" s="45">
        <v>45807</v>
      </c>
      <c r="C11" s="46" t="s">
        <v>105</v>
      </c>
      <c r="D11" s="49" t="s">
        <v>108</v>
      </c>
      <c r="E11" s="48" t="s">
        <v>105</v>
      </c>
      <c r="F11" s="46">
        <v>104</v>
      </c>
      <c r="G11" s="13">
        <f t="shared" si="0"/>
        <v>754</v>
      </c>
      <c r="H11">
        <f>ROUND(PRODUCT(G11/8),0)</f>
        <v>94</v>
      </c>
      <c r="I11">
        <f>ROUND(PRODUCT(G11/COUNT(F4:F11)),0)</f>
        <v>94</v>
      </c>
      <c r="J11" s="52">
        <v>0.24652777777777779</v>
      </c>
      <c r="K11" s="54">
        <f t="shared" si="1"/>
        <v>1.713888888888889</v>
      </c>
      <c r="L11" s="50">
        <f t="shared" si="2"/>
        <v>17.600000000000001</v>
      </c>
      <c r="M11" s="51">
        <v>47</v>
      </c>
      <c r="N11" s="52">
        <v>0.36458333333333331</v>
      </c>
      <c r="O11" s="54">
        <f t="shared" si="3"/>
        <v>2.1944444444444446</v>
      </c>
      <c r="P11" s="50">
        <f t="shared" si="4"/>
        <v>11.9</v>
      </c>
      <c r="Q11" s="54">
        <f t="shared" si="5"/>
        <v>0.11805555555555552</v>
      </c>
      <c r="R11" s="54">
        <f t="shared" si="6"/>
        <v>0.48055555555555551</v>
      </c>
      <c r="S11">
        <v>280</v>
      </c>
      <c r="T11">
        <v>280</v>
      </c>
      <c r="U11" s="55">
        <f t="shared" si="7"/>
        <v>0</v>
      </c>
      <c r="V11">
        <v>747</v>
      </c>
      <c r="W11" s="55">
        <f t="shared" si="8"/>
        <v>5282</v>
      </c>
      <c r="X11">
        <f t="shared" si="9"/>
        <v>747</v>
      </c>
      <c r="Y11" s="55">
        <f t="shared" si="10"/>
        <v>5122</v>
      </c>
      <c r="Z11" s="55">
        <f t="shared" si="11"/>
        <v>0</v>
      </c>
      <c r="AA11">
        <v>345</v>
      </c>
      <c r="AC11" s="55"/>
      <c r="AE11" s="55"/>
      <c r="AF11" s="55"/>
      <c r="AG11" s="55"/>
      <c r="AH11" s="15">
        <f t="shared" si="12"/>
        <v>0</v>
      </c>
    </row>
    <row r="12" spans="1:34" ht="13">
      <c r="A12" s="49" t="s">
        <v>94</v>
      </c>
      <c r="B12" s="45">
        <v>45808</v>
      </c>
      <c r="C12" s="46" t="s">
        <v>105</v>
      </c>
      <c r="D12" s="49" t="s">
        <v>109</v>
      </c>
      <c r="E12" s="48" t="s">
        <v>105</v>
      </c>
      <c r="F12" s="46">
        <v>111</v>
      </c>
      <c r="G12" s="13">
        <f t="shared" si="0"/>
        <v>865</v>
      </c>
      <c r="H12">
        <f>ROUND(PRODUCT(G12/9),0)</f>
        <v>96</v>
      </c>
      <c r="I12">
        <f>ROUND(PRODUCT(G12/COUNT(F4:F12)),0)</f>
        <v>96</v>
      </c>
      <c r="J12" s="52">
        <v>0.24444444444444444</v>
      </c>
      <c r="K12" s="54">
        <f t="shared" si="1"/>
        <v>1.9583333333333335</v>
      </c>
      <c r="L12" s="50">
        <f t="shared" si="2"/>
        <v>18.899999999999999</v>
      </c>
      <c r="M12" s="51">
        <v>45</v>
      </c>
      <c r="N12" s="52">
        <v>0.3125</v>
      </c>
      <c r="O12" s="54">
        <f t="shared" si="3"/>
        <v>2.5069444444444446</v>
      </c>
      <c r="P12" s="50">
        <f t="shared" si="4"/>
        <v>14.8</v>
      </c>
      <c r="Q12" s="54">
        <f t="shared" si="5"/>
        <v>6.8055555555555564E-2</v>
      </c>
      <c r="R12" s="54">
        <f t="shared" si="6"/>
        <v>0.54861111111111105</v>
      </c>
      <c r="S12">
        <v>280</v>
      </c>
      <c r="T12">
        <v>280</v>
      </c>
      <c r="U12" s="55">
        <f t="shared" si="7"/>
        <v>0</v>
      </c>
      <c r="V12">
        <v>901</v>
      </c>
      <c r="W12" s="55">
        <f t="shared" si="8"/>
        <v>6183</v>
      </c>
      <c r="X12">
        <f t="shared" si="9"/>
        <v>901</v>
      </c>
      <c r="Y12" s="55">
        <f t="shared" si="10"/>
        <v>6023</v>
      </c>
      <c r="Z12" s="55">
        <f t="shared" si="11"/>
        <v>0</v>
      </c>
      <c r="AA12">
        <v>410</v>
      </c>
      <c r="AC12" s="55"/>
      <c r="AE12" s="55"/>
      <c r="AF12" s="55"/>
      <c r="AG12" s="55"/>
      <c r="AH12" s="15">
        <f t="shared" si="12"/>
        <v>0</v>
      </c>
    </row>
    <row r="13" spans="1:34" ht="13">
      <c r="A13" s="49" t="s">
        <v>68</v>
      </c>
      <c r="B13" s="45">
        <v>45809</v>
      </c>
      <c r="C13" s="46" t="s">
        <v>105</v>
      </c>
      <c r="D13" s="49" t="s">
        <v>106</v>
      </c>
      <c r="E13" s="48" t="s">
        <v>52</v>
      </c>
      <c r="F13" s="46">
        <v>137</v>
      </c>
      <c r="G13" s="13">
        <f t="shared" si="0"/>
        <v>1002</v>
      </c>
      <c r="H13">
        <f>ROUND(PRODUCT(G13/10),0)</f>
        <v>100</v>
      </c>
      <c r="I13">
        <f>ROUND(PRODUCT(G13/COUNT(F4:F13)),0)</f>
        <v>100</v>
      </c>
      <c r="J13" s="52">
        <v>0.29166666666666669</v>
      </c>
      <c r="K13" s="54">
        <f t="shared" si="1"/>
        <v>2.25</v>
      </c>
      <c r="L13" s="50">
        <f t="shared" si="2"/>
        <v>19.600000000000001</v>
      </c>
      <c r="M13" s="51">
        <v>53</v>
      </c>
      <c r="N13" s="52">
        <v>0.47916666666666669</v>
      </c>
      <c r="O13" s="54">
        <f t="shared" si="3"/>
        <v>2.9861111111111112</v>
      </c>
      <c r="P13" s="50">
        <f t="shared" si="4"/>
        <v>11.9</v>
      </c>
      <c r="Q13" s="54">
        <f t="shared" si="5"/>
        <v>0.1875</v>
      </c>
      <c r="R13" s="54">
        <f t="shared" si="6"/>
        <v>0.73611111111111105</v>
      </c>
      <c r="S13">
        <v>280</v>
      </c>
      <c r="T13">
        <v>120</v>
      </c>
      <c r="U13" s="55">
        <f t="shared" si="7"/>
        <v>-160</v>
      </c>
      <c r="V13">
        <v>970</v>
      </c>
      <c r="W13" s="55">
        <f t="shared" si="8"/>
        <v>7153</v>
      </c>
      <c r="X13">
        <f t="shared" si="9"/>
        <v>1130</v>
      </c>
      <c r="Y13" s="55">
        <f t="shared" si="10"/>
        <v>7153</v>
      </c>
      <c r="Z13" s="55">
        <f t="shared" si="11"/>
        <v>-160</v>
      </c>
      <c r="AA13">
        <v>345</v>
      </c>
      <c r="AC13" s="55"/>
      <c r="AE13" s="55"/>
      <c r="AF13" s="55"/>
      <c r="AG13" s="55"/>
      <c r="AH13" s="15">
        <f t="shared" si="12"/>
        <v>0</v>
      </c>
    </row>
    <row r="14" spans="1:34" ht="13">
      <c r="A14" s="49" t="s">
        <v>6</v>
      </c>
      <c r="B14" s="39">
        <v>45810</v>
      </c>
      <c r="C14" s="46" t="s">
        <v>52</v>
      </c>
      <c r="D14" s="49" t="s">
        <v>107</v>
      </c>
      <c r="E14" s="48" t="s">
        <v>52</v>
      </c>
      <c r="F14" s="4">
        <v>34</v>
      </c>
      <c r="G14" s="13">
        <f t="shared" si="0"/>
        <v>1036</v>
      </c>
      <c r="H14">
        <f>ROUND(PRODUCT(G14/11),0)</f>
        <v>94</v>
      </c>
      <c r="I14">
        <f>ROUND(PRODUCT(G14/COUNT(F4:F14)),0)</f>
        <v>94</v>
      </c>
      <c r="J14" s="33">
        <v>8.3333333333333329E-2</v>
      </c>
      <c r="K14" s="16">
        <f t="shared" si="1"/>
        <v>2.3333333333333335</v>
      </c>
      <c r="L14" s="37">
        <f t="shared" si="2"/>
        <v>17</v>
      </c>
      <c r="M14" s="29">
        <v>32</v>
      </c>
      <c r="N14" s="33">
        <v>0.10416666666666667</v>
      </c>
      <c r="O14" s="16">
        <f t="shared" si="3"/>
        <v>3.0902777777777777</v>
      </c>
      <c r="P14" s="37">
        <f t="shared" si="4"/>
        <v>13.6</v>
      </c>
      <c r="Q14" s="16">
        <f t="shared" si="5"/>
        <v>2.0833333333333343E-2</v>
      </c>
      <c r="R14" s="16">
        <f t="shared" si="6"/>
        <v>0.75694444444444442</v>
      </c>
      <c r="S14" s="24">
        <v>120</v>
      </c>
      <c r="T14" s="24">
        <v>120</v>
      </c>
      <c r="U14" s="14">
        <f t="shared" si="7"/>
        <v>0</v>
      </c>
      <c r="V14" s="24">
        <v>240</v>
      </c>
      <c r="W14" s="14">
        <f t="shared" si="8"/>
        <v>7393</v>
      </c>
      <c r="X14" s="9">
        <f t="shared" si="9"/>
        <v>240</v>
      </c>
      <c r="Y14" s="14">
        <f t="shared" si="10"/>
        <v>7393</v>
      </c>
      <c r="Z14" s="14">
        <f t="shared" si="11"/>
        <v>0</v>
      </c>
      <c r="AA14" s="24">
        <v>245</v>
      </c>
      <c r="AC14" s="55"/>
      <c r="AE14" s="55"/>
      <c r="AF14" s="55"/>
      <c r="AG14" s="55"/>
      <c r="AH14" s="15">
        <f t="shared" si="12"/>
        <v>0</v>
      </c>
    </row>
    <row r="15" spans="1:34" ht="13">
      <c r="A15" s="49" t="s">
        <v>34</v>
      </c>
      <c r="B15" s="39">
        <v>45811</v>
      </c>
      <c r="C15" s="46" t="s">
        <v>52</v>
      </c>
      <c r="D15" s="43" t="s">
        <v>110</v>
      </c>
      <c r="E15" s="48" t="s">
        <v>52</v>
      </c>
      <c r="F15" s="4">
        <v>51</v>
      </c>
      <c r="G15" s="13">
        <f t="shared" si="0"/>
        <v>1087</v>
      </c>
      <c r="H15">
        <f>ROUND(PRODUCT(G15/12),0)</f>
        <v>91</v>
      </c>
      <c r="I15">
        <f>ROUND(PRODUCT(G15/COUNT(F4:F15)),0)</f>
        <v>91</v>
      </c>
      <c r="J15" s="33">
        <v>0.1111111111111111</v>
      </c>
      <c r="K15" s="16">
        <f t="shared" si="1"/>
        <v>2.4444444444444446</v>
      </c>
      <c r="L15" s="37">
        <f t="shared" si="2"/>
        <v>19.100000000000001</v>
      </c>
      <c r="M15" s="30">
        <v>43</v>
      </c>
      <c r="N15" s="33">
        <v>0.125</v>
      </c>
      <c r="O15" s="16">
        <f t="shared" si="3"/>
        <v>3.2152777777777777</v>
      </c>
      <c r="P15" s="37">
        <f t="shared" si="4"/>
        <v>17</v>
      </c>
      <c r="Q15" s="16">
        <f t="shared" si="5"/>
        <v>1.3888888888888895E-2</v>
      </c>
      <c r="R15" s="16">
        <f t="shared" si="6"/>
        <v>0.77083333333333326</v>
      </c>
      <c r="S15" s="24">
        <v>120</v>
      </c>
      <c r="T15" s="24">
        <v>120</v>
      </c>
      <c r="U15" s="14">
        <f t="shared" si="7"/>
        <v>0</v>
      </c>
      <c r="V15" s="24">
        <v>320</v>
      </c>
      <c r="W15" s="14">
        <f t="shared" si="8"/>
        <v>7713</v>
      </c>
      <c r="X15" s="9">
        <f t="shared" si="9"/>
        <v>320</v>
      </c>
      <c r="Y15" s="14">
        <f t="shared" si="10"/>
        <v>7713</v>
      </c>
      <c r="Z15" s="14">
        <f t="shared" si="11"/>
        <v>0</v>
      </c>
      <c r="AA15" s="24">
        <v>220</v>
      </c>
      <c r="AC15" s="55"/>
      <c r="AE15" s="55"/>
      <c r="AF15" s="55"/>
      <c r="AG15" s="55"/>
      <c r="AH15" s="15">
        <f t="shared" si="12"/>
        <v>0</v>
      </c>
    </row>
    <row r="16" spans="1:34" ht="13" customHeight="1">
      <c r="A16" s="49" t="s">
        <v>35</v>
      </c>
      <c r="B16" s="39">
        <v>45812</v>
      </c>
      <c r="C16" s="46" t="s">
        <v>52</v>
      </c>
      <c r="D16" s="43" t="s">
        <v>111</v>
      </c>
      <c r="E16" s="48" t="s">
        <v>52</v>
      </c>
      <c r="F16" s="4">
        <v>58</v>
      </c>
      <c r="G16" s="13">
        <f t="shared" si="0"/>
        <v>1145</v>
      </c>
      <c r="H16">
        <f>ROUND(PRODUCT(G16/13),0)</f>
        <v>88</v>
      </c>
      <c r="I16">
        <f>ROUND(PRODUCT(G16/COUNT(F4:F16)),0)</f>
        <v>88</v>
      </c>
      <c r="J16" s="33">
        <v>0.12708333333333333</v>
      </c>
      <c r="K16" s="16">
        <f t="shared" si="1"/>
        <v>2.5715277777777779</v>
      </c>
      <c r="L16" s="37">
        <f t="shared" si="2"/>
        <v>19</v>
      </c>
      <c r="M16" s="30">
        <v>25</v>
      </c>
      <c r="N16" s="33">
        <v>0.13541666666666666</v>
      </c>
      <c r="O16" s="16">
        <f t="shared" si="3"/>
        <v>3.3506944444444442</v>
      </c>
      <c r="P16" s="37">
        <f t="shared" si="4"/>
        <v>17.8</v>
      </c>
      <c r="Q16" s="16">
        <f t="shared" si="5"/>
        <v>8.3333333333333315E-3</v>
      </c>
      <c r="R16" s="16">
        <f t="shared" si="6"/>
        <v>0.77916666666666656</v>
      </c>
      <c r="S16" s="24">
        <v>120</v>
      </c>
      <c r="T16" s="24">
        <v>120</v>
      </c>
      <c r="U16" s="14">
        <f t="shared" si="7"/>
        <v>0</v>
      </c>
      <c r="V16" s="24">
        <v>270</v>
      </c>
      <c r="W16" s="14">
        <f t="shared" si="8"/>
        <v>7983</v>
      </c>
      <c r="X16" s="9">
        <f t="shared" si="9"/>
        <v>270</v>
      </c>
      <c r="Y16" s="14">
        <f t="shared" si="10"/>
        <v>7983</v>
      </c>
      <c r="Z16" s="14">
        <f t="shared" si="11"/>
        <v>0</v>
      </c>
      <c r="AA16" s="24">
        <v>120</v>
      </c>
      <c r="AC16" s="55"/>
      <c r="AE16" s="55"/>
      <c r="AF16" s="55"/>
      <c r="AG16" s="55"/>
      <c r="AH16" s="15">
        <f t="shared" si="12"/>
        <v>0</v>
      </c>
    </row>
    <row r="17" spans="1:34" ht="13">
      <c r="A17" s="49" t="s">
        <v>69</v>
      </c>
      <c r="B17" s="39">
        <v>45813</v>
      </c>
      <c r="C17" s="46" t="s">
        <v>52</v>
      </c>
      <c r="D17" s="49" t="s">
        <v>96</v>
      </c>
      <c r="E17" s="48" t="s">
        <v>52</v>
      </c>
      <c r="F17" s="4">
        <v>29</v>
      </c>
      <c r="G17" s="13">
        <f t="shared" si="0"/>
        <v>1174</v>
      </c>
      <c r="H17">
        <f>ROUND(PRODUCT(G17/14),0)</f>
        <v>84</v>
      </c>
      <c r="I17">
        <f>ROUND(PRODUCT(G17/COUNT(F4:F17)),0)</f>
        <v>84</v>
      </c>
      <c r="J17" s="41">
        <v>6.9444444444444448E-2</v>
      </c>
      <c r="K17" s="16">
        <f t="shared" si="1"/>
        <v>2.6409722222222225</v>
      </c>
      <c r="L17" s="37">
        <f t="shared" si="2"/>
        <v>17.399999999999999</v>
      </c>
      <c r="M17" s="30">
        <v>32</v>
      </c>
      <c r="N17" s="33">
        <v>8.3333333333333329E-2</v>
      </c>
      <c r="O17" s="16">
        <f t="shared" si="3"/>
        <v>3.4340277777777777</v>
      </c>
      <c r="P17" s="37">
        <f t="shared" si="4"/>
        <v>14.5</v>
      </c>
      <c r="Q17" s="16">
        <f t="shared" si="5"/>
        <v>1.3888888888888881E-2</v>
      </c>
      <c r="R17" s="16">
        <f t="shared" si="6"/>
        <v>0.7930555555555554</v>
      </c>
      <c r="S17" s="24">
        <v>120</v>
      </c>
      <c r="T17" s="24">
        <v>120</v>
      </c>
      <c r="U17" s="14">
        <f t="shared" si="7"/>
        <v>0</v>
      </c>
      <c r="V17" s="59">
        <v>150</v>
      </c>
      <c r="W17" s="14">
        <f t="shared" si="8"/>
        <v>8133</v>
      </c>
      <c r="X17" s="9">
        <f t="shared" si="9"/>
        <v>150</v>
      </c>
      <c r="Y17" s="14">
        <f t="shared" si="10"/>
        <v>8133</v>
      </c>
      <c r="Z17" s="14">
        <f t="shared" si="11"/>
        <v>0</v>
      </c>
      <c r="AA17" s="24">
        <v>220</v>
      </c>
      <c r="AC17" s="55"/>
      <c r="AE17" s="55"/>
      <c r="AF17" s="55"/>
      <c r="AG17" s="55"/>
      <c r="AH17" s="15">
        <f t="shared" si="12"/>
        <v>0</v>
      </c>
    </row>
    <row r="18" spans="1:34" ht="13">
      <c r="A18" s="49" t="s">
        <v>70</v>
      </c>
      <c r="B18" s="39">
        <v>45814</v>
      </c>
      <c r="C18" s="46" t="s">
        <v>52</v>
      </c>
      <c r="D18" s="49" t="s">
        <v>142</v>
      </c>
      <c r="E18" s="44" t="s">
        <v>114</v>
      </c>
      <c r="F18" s="4">
        <v>42</v>
      </c>
      <c r="G18" s="13">
        <f t="shared" si="0"/>
        <v>1216</v>
      </c>
      <c r="H18">
        <f>ROUND(PRODUCT(G18/15),0)</f>
        <v>81</v>
      </c>
      <c r="I18">
        <f>ROUND(PRODUCT(G18/COUNT(F4:F18)),0)</f>
        <v>81</v>
      </c>
      <c r="J18" s="33">
        <v>9.0277777777777776E-2</v>
      </c>
      <c r="K18" s="16">
        <f t="shared" si="1"/>
        <v>2.7312500000000002</v>
      </c>
      <c r="L18" s="37">
        <f t="shared" si="2"/>
        <v>19.399999999999999</v>
      </c>
      <c r="M18" s="30">
        <v>44</v>
      </c>
      <c r="N18" s="33">
        <v>0.125</v>
      </c>
      <c r="O18" s="16">
        <f t="shared" si="3"/>
        <v>3.5590277777777777</v>
      </c>
      <c r="P18" s="37">
        <f t="shared" si="4"/>
        <v>14</v>
      </c>
      <c r="Q18" s="16">
        <f t="shared" si="5"/>
        <v>3.4722222222222224E-2</v>
      </c>
      <c r="R18" s="16">
        <f t="shared" si="6"/>
        <v>0.82777777777777761</v>
      </c>
      <c r="S18" s="24">
        <v>40</v>
      </c>
      <c r="T18" s="24">
        <v>35</v>
      </c>
      <c r="U18" s="14">
        <f t="shared" si="7"/>
        <v>-5</v>
      </c>
      <c r="V18" s="59">
        <v>200</v>
      </c>
      <c r="W18" s="14">
        <f t="shared" si="8"/>
        <v>8333</v>
      </c>
      <c r="X18" s="9">
        <f t="shared" si="9"/>
        <v>205</v>
      </c>
      <c r="Y18" s="14">
        <f t="shared" si="10"/>
        <v>8338</v>
      </c>
      <c r="Z18" s="14">
        <f t="shared" si="11"/>
        <v>-5</v>
      </c>
      <c r="AA18" s="24">
        <v>60</v>
      </c>
      <c r="AC18" s="55"/>
      <c r="AE18" s="55"/>
      <c r="AF18" s="55"/>
      <c r="AG18" s="55"/>
      <c r="AH18" s="15">
        <f t="shared" si="12"/>
        <v>0</v>
      </c>
    </row>
    <row r="19" spans="1:34" ht="13">
      <c r="A19" s="49" t="s">
        <v>71</v>
      </c>
      <c r="B19" s="45">
        <v>45815</v>
      </c>
      <c r="C19" s="42" t="s">
        <v>114</v>
      </c>
      <c r="D19" s="49" t="s">
        <v>115</v>
      </c>
      <c r="E19" s="44" t="s">
        <v>112</v>
      </c>
      <c r="F19" s="4">
        <v>182</v>
      </c>
      <c r="G19" s="13">
        <f>SUM(G18,F19)</f>
        <v>1398</v>
      </c>
      <c r="H19">
        <f>ROUND(PRODUCT(G19/16),0)</f>
        <v>87</v>
      </c>
      <c r="I19">
        <f>ROUND(PRODUCT(G19/COUNT(F4:F19)),0)</f>
        <v>87</v>
      </c>
      <c r="J19" s="33">
        <v>0.35416666666666669</v>
      </c>
      <c r="K19" s="16">
        <f>SUM(J19,K18)</f>
        <v>3.0854166666666667</v>
      </c>
      <c r="L19" s="37">
        <f t="shared" si="2"/>
        <v>21.4</v>
      </c>
      <c r="M19" s="30">
        <v>37</v>
      </c>
      <c r="N19" s="33">
        <v>0.45833333333333331</v>
      </c>
      <c r="O19" s="16">
        <f>SUM(N19,O18)</f>
        <v>4.0173611111111107</v>
      </c>
      <c r="P19" s="37">
        <f t="shared" si="4"/>
        <v>16.5</v>
      </c>
      <c r="Q19" s="16">
        <f t="shared" si="5"/>
        <v>0.10416666666666663</v>
      </c>
      <c r="R19" s="16">
        <f>SUM(Q19,R18)</f>
        <v>0.93194444444444424</v>
      </c>
      <c r="S19" s="24">
        <v>30</v>
      </c>
      <c r="T19" s="24">
        <v>80</v>
      </c>
      <c r="U19" s="14">
        <f>SUM(-S19,T19)</f>
        <v>50</v>
      </c>
      <c r="V19" s="59">
        <v>734</v>
      </c>
      <c r="W19" s="14">
        <f>SUM(W18,V19)</f>
        <v>9067</v>
      </c>
      <c r="X19" s="9">
        <f t="shared" si="9"/>
        <v>684</v>
      </c>
      <c r="Y19" s="14">
        <f>SUM(Y18,X19)</f>
        <v>9022</v>
      </c>
      <c r="Z19" s="14">
        <f t="shared" si="11"/>
        <v>50</v>
      </c>
      <c r="AA19" s="24">
        <v>157</v>
      </c>
      <c r="AC19" s="55"/>
      <c r="AE19" s="55"/>
      <c r="AF19" s="55"/>
      <c r="AG19" s="55"/>
      <c r="AH19" s="15">
        <f t="shared" si="12"/>
        <v>0</v>
      </c>
    </row>
    <row r="20" spans="1:34" ht="13">
      <c r="A20" s="49" t="s">
        <v>36</v>
      </c>
      <c r="B20" s="45">
        <v>45816</v>
      </c>
      <c r="C20" s="42" t="s">
        <v>112</v>
      </c>
      <c r="D20" s="49" t="s">
        <v>113</v>
      </c>
      <c r="E20" s="48" t="s">
        <v>52</v>
      </c>
      <c r="F20" s="4">
        <v>147</v>
      </c>
      <c r="G20" s="13">
        <f t="shared" ref="G20:G35" si="13">SUM(G19,F20)</f>
        <v>1545</v>
      </c>
      <c r="H20">
        <f>ROUND(PRODUCT(G20/17),0)</f>
        <v>91</v>
      </c>
      <c r="I20">
        <f>ROUND(PRODUCT(G20/COUNT(F4:F20)),0)</f>
        <v>91</v>
      </c>
      <c r="J20" s="33">
        <v>0.3125</v>
      </c>
      <c r="K20" s="16">
        <f t="shared" ref="K20:K35" si="14">SUM(J20,K19)</f>
        <v>3.3979166666666667</v>
      </c>
      <c r="L20" s="37">
        <f t="shared" ref="L20:L35" si="15">IF(F20=0,0,ROUND(PRODUCT(F20/SUM(HOUR(J20),PRODUCT(MINUTE(J20)/60))),1))</f>
        <v>19.600000000000001</v>
      </c>
      <c r="M20" s="30">
        <v>35</v>
      </c>
      <c r="N20" s="33">
        <v>0.375</v>
      </c>
      <c r="O20" s="16">
        <f t="shared" ref="O20:O35" si="16">SUM(N20,O19)</f>
        <v>4.3923611111111107</v>
      </c>
      <c r="P20" s="37">
        <f t="shared" ref="P20:P35" si="17">IF(F20=0,0,ROUND(PRODUCT(F20/SUM(HOUR(N20),PRODUCT(MINUTE(N20)/60))),1))</f>
        <v>16.3</v>
      </c>
      <c r="Q20" s="16">
        <f t="shared" ref="Q20:Q35" si="18">SUM(N20,-J20)</f>
        <v>6.25E-2</v>
      </c>
      <c r="R20" s="16">
        <f t="shared" ref="R20:R35" si="19">SUM(Q20,R19)</f>
        <v>0.99444444444444424</v>
      </c>
      <c r="S20" s="24">
        <v>80</v>
      </c>
      <c r="T20" s="24">
        <v>10</v>
      </c>
      <c r="U20" s="14">
        <f t="shared" ref="U20:U35" si="20">SUM(-S20,T20)</f>
        <v>-70</v>
      </c>
      <c r="V20" s="59">
        <v>616</v>
      </c>
      <c r="W20" s="14">
        <f t="shared" ref="W20:W35" si="21">SUM(W19,V20)</f>
        <v>9683</v>
      </c>
      <c r="X20" s="9">
        <f t="shared" ref="X20:X56" si="22">SUM(S20,-T20,V20)</f>
        <v>686</v>
      </c>
      <c r="Y20" s="14">
        <f t="shared" ref="Y20:Y35" si="23">SUM(Y19,X20)</f>
        <v>9708</v>
      </c>
      <c r="Z20" s="14">
        <f t="shared" ref="Z20:Z35" si="24">SUM(V20,-X20)</f>
        <v>-70</v>
      </c>
      <c r="AA20" s="24">
        <v>110</v>
      </c>
      <c r="AC20" s="55"/>
      <c r="AE20" s="55"/>
      <c r="AF20" s="55"/>
      <c r="AG20" s="55"/>
      <c r="AH20" s="15">
        <f t="shared" si="12"/>
        <v>0</v>
      </c>
    </row>
    <row r="21" spans="1:34" ht="13">
      <c r="A21" s="49" t="s">
        <v>37</v>
      </c>
      <c r="B21" s="45">
        <v>45817</v>
      </c>
      <c r="C21" s="46" t="s">
        <v>52</v>
      </c>
      <c r="D21" s="49" t="s">
        <v>93</v>
      </c>
      <c r="E21" s="48" t="s">
        <v>52</v>
      </c>
      <c r="F21" s="4">
        <v>29</v>
      </c>
      <c r="G21" s="13">
        <f t="shared" si="13"/>
        <v>1574</v>
      </c>
      <c r="H21">
        <f>ROUND(PRODUCT(G21/18),0)</f>
        <v>87</v>
      </c>
      <c r="I21">
        <f>ROUND(PRODUCT(G21/COUNT(F4:F21)),0)</f>
        <v>87</v>
      </c>
      <c r="J21" s="33">
        <v>9.0972222222222218E-2</v>
      </c>
      <c r="K21" s="16">
        <f t="shared" si="14"/>
        <v>3.4888888888888889</v>
      </c>
      <c r="L21" s="37">
        <f t="shared" si="15"/>
        <v>13.3</v>
      </c>
      <c r="M21" s="30">
        <v>34</v>
      </c>
      <c r="N21" s="33">
        <v>0.16666666666666666</v>
      </c>
      <c r="O21" s="16">
        <f t="shared" si="16"/>
        <v>4.5590277777777777</v>
      </c>
      <c r="P21" s="37">
        <f t="shared" si="17"/>
        <v>7.3</v>
      </c>
      <c r="Q21" s="16">
        <f t="shared" si="18"/>
        <v>7.5694444444444439E-2</v>
      </c>
      <c r="R21" s="16">
        <f t="shared" si="19"/>
        <v>1.0701388888888888</v>
      </c>
      <c r="S21" s="24">
        <v>120</v>
      </c>
      <c r="T21" s="24">
        <v>120</v>
      </c>
      <c r="U21" s="14">
        <f t="shared" si="20"/>
        <v>0</v>
      </c>
      <c r="V21" s="59">
        <v>80</v>
      </c>
      <c r="W21" s="14">
        <f t="shared" si="21"/>
        <v>9763</v>
      </c>
      <c r="X21" s="9">
        <f t="shared" si="22"/>
        <v>80</v>
      </c>
      <c r="Y21" s="14">
        <f t="shared" si="23"/>
        <v>9788</v>
      </c>
      <c r="Z21" s="14">
        <f t="shared" si="24"/>
        <v>0</v>
      </c>
      <c r="AA21" s="24">
        <v>120</v>
      </c>
      <c r="AC21" s="55"/>
      <c r="AE21" s="55"/>
      <c r="AF21" s="55"/>
      <c r="AG21" s="55"/>
      <c r="AH21" s="15">
        <f t="shared" si="12"/>
        <v>0</v>
      </c>
    </row>
    <row r="22" spans="1:34" ht="13">
      <c r="A22" s="49" t="s">
        <v>72</v>
      </c>
      <c r="B22" s="45">
        <v>45818</v>
      </c>
      <c r="C22" s="46" t="s">
        <v>52</v>
      </c>
      <c r="D22" s="49" t="s">
        <v>96</v>
      </c>
      <c r="E22" s="48" t="s">
        <v>52</v>
      </c>
      <c r="F22" s="4">
        <v>24</v>
      </c>
      <c r="G22" s="13">
        <f t="shared" si="13"/>
        <v>1598</v>
      </c>
      <c r="H22">
        <f>ROUND(PRODUCT(G22/19),0)</f>
        <v>84</v>
      </c>
      <c r="I22">
        <f>ROUND(PRODUCT(G22/COUNT(F4:F22)),0)</f>
        <v>84</v>
      </c>
      <c r="J22" s="41">
        <v>5.7638888888888892E-2</v>
      </c>
      <c r="K22" s="16">
        <f t="shared" si="14"/>
        <v>3.5465277777777779</v>
      </c>
      <c r="L22" s="37">
        <f t="shared" si="15"/>
        <v>17.3</v>
      </c>
      <c r="M22" s="30">
        <v>36</v>
      </c>
      <c r="N22" s="33">
        <v>8.3333333333333329E-2</v>
      </c>
      <c r="O22" s="16">
        <f t="shared" si="16"/>
        <v>4.6423611111111107</v>
      </c>
      <c r="P22" s="37">
        <f t="shared" si="17"/>
        <v>12</v>
      </c>
      <c r="Q22" s="16">
        <f t="shared" si="18"/>
        <v>2.5694444444444436E-2</v>
      </c>
      <c r="R22" s="16">
        <f t="shared" si="19"/>
        <v>1.0958333333333332</v>
      </c>
      <c r="S22" s="24">
        <v>120</v>
      </c>
      <c r="T22" s="24">
        <v>120</v>
      </c>
      <c r="U22" s="14">
        <f t="shared" si="20"/>
        <v>0</v>
      </c>
      <c r="V22" s="59">
        <v>200</v>
      </c>
      <c r="W22" s="14">
        <f t="shared" si="21"/>
        <v>9963</v>
      </c>
      <c r="X22" s="9">
        <f t="shared" si="22"/>
        <v>200</v>
      </c>
      <c r="Y22" s="14">
        <f t="shared" si="23"/>
        <v>9988</v>
      </c>
      <c r="Z22" s="14">
        <f t="shared" si="24"/>
        <v>0</v>
      </c>
      <c r="AA22" s="24">
        <v>220</v>
      </c>
      <c r="AC22" s="55"/>
      <c r="AE22" s="55"/>
      <c r="AF22" s="55"/>
      <c r="AG22" s="55"/>
      <c r="AH22" s="15">
        <f t="shared" si="12"/>
        <v>0</v>
      </c>
    </row>
    <row r="23" spans="1:34" ht="13">
      <c r="A23" s="49" t="s">
        <v>73</v>
      </c>
      <c r="B23" s="45">
        <v>45819</v>
      </c>
      <c r="C23" s="46" t="s">
        <v>52</v>
      </c>
      <c r="D23" s="49" t="s">
        <v>96</v>
      </c>
      <c r="E23" s="48" t="s">
        <v>52</v>
      </c>
      <c r="F23" s="4">
        <v>35</v>
      </c>
      <c r="G23" s="13">
        <f t="shared" si="13"/>
        <v>1633</v>
      </c>
      <c r="H23">
        <f>ROUND(PRODUCT(G23/20),0)</f>
        <v>82</v>
      </c>
      <c r="I23">
        <f>ROUND(PRODUCT(G23/COUNT(F4:F23)),0)</f>
        <v>82</v>
      </c>
      <c r="J23" s="33">
        <v>9.7222222222222224E-2</v>
      </c>
      <c r="K23" s="16">
        <f t="shared" si="14"/>
        <v>3.6437500000000003</v>
      </c>
      <c r="L23" s="37">
        <f t="shared" si="15"/>
        <v>15</v>
      </c>
      <c r="M23" s="30">
        <v>32</v>
      </c>
      <c r="N23" s="33">
        <v>0.16666666666666666</v>
      </c>
      <c r="O23" s="16">
        <f t="shared" si="16"/>
        <v>4.8090277777777777</v>
      </c>
      <c r="P23" s="37">
        <f t="shared" si="17"/>
        <v>8.8000000000000007</v>
      </c>
      <c r="Q23" s="16">
        <f t="shared" si="18"/>
        <v>6.9444444444444434E-2</v>
      </c>
      <c r="R23" s="16">
        <f t="shared" si="19"/>
        <v>1.1652777777777776</v>
      </c>
      <c r="S23" s="24">
        <v>120</v>
      </c>
      <c r="T23" s="24">
        <v>120</v>
      </c>
      <c r="U23" s="14">
        <f t="shared" si="20"/>
        <v>0</v>
      </c>
      <c r="V23" s="59">
        <v>222</v>
      </c>
      <c r="W23" s="14">
        <f t="shared" si="21"/>
        <v>10185</v>
      </c>
      <c r="X23" s="9">
        <f t="shared" si="22"/>
        <v>222</v>
      </c>
      <c r="Y23" s="14">
        <f t="shared" si="23"/>
        <v>10210</v>
      </c>
      <c r="Z23" s="14">
        <f t="shared" si="24"/>
        <v>0</v>
      </c>
      <c r="AA23" s="24">
        <v>220</v>
      </c>
      <c r="AC23" s="55"/>
      <c r="AE23" s="55"/>
      <c r="AF23" s="55"/>
      <c r="AG23" s="55"/>
      <c r="AH23" s="15">
        <f t="shared" si="12"/>
        <v>0</v>
      </c>
    </row>
    <row r="24" spans="1:34" ht="13">
      <c r="A24" s="49" t="s">
        <v>74</v>
      </c>
      <c r="B24" s="45">
        <v>45820</v>
      </c>
      <c r="C24" s="46" t="s">
        <v>52</v>
      </c>
      <c r="D24" s="43" t="s">
        <v>116</v>
      </c>
      <c r="E24" s="48" t="s">
        <v>52</v>
      </c>
      <c r="F24" s="4">
        <v>40</v>
      </c>
      <c r="G24" s="13">
        <f t="shared" si="13"/>
        <v>1673</v>
      </c>
      <c r="H24">
        <f>ROUND(PRODUCT(G24/21),0)</f>
        <v>80</v>
      </c>
      <c r="I24">
        <f>ROUND(PRODUCT(G24/COUNT(F4:F24)),0)</f>
        <v>80</v>
      </c>
      <c r="J24" s="33">
        <v>0.10416666666666667</v>
      </c>
      <c r="K24" s="16">
        <f t="shared" si="14"/>
        <v>3.7479166666666668</v>
      </c>
      <c r="L24" s="37">
        <f t="shared" si="15"/>
        <v>16</v>
      </c>
      <c r="M24" s="30">
        <v>33</v>
      </c>
      <c r="N24" s="33">
        <v>0.16666666666666666</v>
      </c>
      <c r="O24" s="16">
        <f t="shared" si="16"/>
        <v>4.9756944444444446</v>
      </c>
      <c r="P24" s="37">
        <f t="shared" si="17"/>
        <v>10</v>
      </c>
      <c r="Q24" s="16">
        <f t="shared" si="18"/>
        <v>6.2499999999999986E-2</v>
      </c>
      <c r="R24" s="16">
        <f t="shared" si="19"/>
        <v>1.2277777777777776</v>
      </c>
      <c r="S24" s="24">
        <v>120</v>
      </c>
      <c r="T24" s="24">
        <v>120</v>
      </c>
      <c r="U24" s="14">
        <f t="shared" si="20"/>
        <v>0</v>
      </c>
      <c r="V24" s="59">
        <v>250</v>
      </c>
      <c r="W24" s="14">
        <f t="shared" si="21"/>
        <v>10435</v>
      </c>
      <c r="X24" s="9">
        <f t="shared" si="22"/>
        <v>250</v>
      </c>
      <c r="Y24" s="14">
        <f t="shared" si="23"/>
        <v>10460</v>
      </c>
      <c r="Z24" s="14">
        <f t="shared" si="24"/>
        <v>0</v>
      </c>
      <c r="AA24" s="24">
        <v>220</v>
      </c>
      <c r="AC24" s="55"/>
      <c r="AE24" s="55"/>
      <c r="AF24" s="55"/>
      <c r="AG24" s="55"/>
      <c r="AH24" s="15">
        <f t="shared" si="12"/>
        <v>0</v>
      </c>
    </row>
    <row r="25" spans="1:34" ht="13">
      <c r="A25" s="49" t="s">
        <v>75</v>
      </c>
      <c r="B25" s="45">
        <v>45821</v>
      </c>
      <c r="C25" s="42" t="s">
        <v>52</v>
      </c>
      <c r="D25" s="43" t="s">
        <v>117</v>
      </c>
      <c r="E25" s="44" t="s">
        <v>114</v>
      </c>
      <c r="F25" s="4">
        <v>22</v>
      </c>
      <c r="G25" s="13">
        <f t="shared" si="13"/>
        <v>1695</v>
      </c>
      <c r="H25">
        <f>ROUND(PRODUCT(G25/22),0)</f>
        <v>77</v>
      </c>
      <c r="I25">
        <f>ROUND(PRODUCT(G25/COUNT(F4:F25)),0)</f>
        <v>77</v>
      </c>
      <c r="J25" s="33">
        <v>6.25E-2</v>
      </c>
      <c r="K25" s="16">
        <f t="shared" si="14"/>
        <v>3.8104166666666668</v>
      </c>
      <c r="L25" s="37">
        <f t="shared" si="15"/>
        <v>14.7</v>
      </c>
      <c r="M25" s="29">
        <v>38</v>
      </c>
      <c r="N25" s="33">
        <v>8.3333333333333329E-2</v>
      </c>
      <c r="O25" s="16">
        <f t="shared" si="16"/>
        <v>5.0590277777777777</v>
      </c>
      <c r="P25" s="37">
        <f t="shared" si="17"/>
        <v>11</v>
      </c>
      <c r="Q25" s="16">
        <f t="shared" si="18"/>
        <v>2.0833333333333329E-2</v>
      </c>
      <c r="R25" s="16">
        <f t="shared" si="19"/>
        <v>1.2486111111111109</v>
      </c>
      <c r="S25" s="24">
        <v>120</v>
      </c>
      <c r="T25" s="24">
        <v>50</v>
      </c>
      <c r="U25" s="14">
        <f t="shared" si="20"/>
        <v>-70</v>
      </c>
      <c r="V25" s="59">
        <v>110</v>
      </c>
      <c r="W25" s="14">
        <f t="shared" si="21"/>
        <v>10545</v>
      </c>
      <c r="X25" s="9">
        <f t="shared" si="22"/>
        <v>180</v>
      </c>
      <c r="Y25" s="14">
        <f t="shared" si="23"/>
        <v>10640</v>
      </c>
      <c r="Z25" s="14">
        <f t="shared" si="24"/>
        <v>-70</v>
      </c>
      <c r="AA25" s="24">
        <v>220</v>
      </c>
      <c r="AC25" s="55"/>
      <c r="AE25" s="55"/>
      <c r="AF25" s="55"/>
      <c r="AG25" s="55"/>
      <c r="AH25" s="15">
        <f t="shared" si="12"/>
        <v>0</v>
      </c>
    </row>
    <row r="26" spans="1:34" ht="13">
      <c r="A26" s="49" t="s">
        <v>40</v>
      </c>
      <c r="B26" s="45">
        <v>45822</v>
      </c>
      <c r="C26" s="42" t="s">
        <v>114</v>
      </c>
      <c r="D26" s="43" t="s">
        <v>118</v>
      </c>
      <c r="E26" s="44" t="s">
        <v>129</v>
      </c>
      <c r="F26" s="4">
        <v>160</v>
      </c>
      <c r="G26" s="13">
        <f t="shared" si="13"/>
        <v>1855</v>
      </c>
      <c r="H26">
        <f>ROUND(PRODUCT(G26/23),0)</f>
        <v>81</v>
      </c>
      <c r="I26">
        <f>ROUND(PRODUCT(G26/COUNT(F4:F26)),0)</f>
        <v>81</v>
      </c>
      <c r="J26" s="33">
        <v>0.35208333333333336</v>
      </c>
      <c r="K26" s="16">
        <f t="shared" si="14"/>
        <v>4.1625000000000005</v>
      </c>
      <c r="L26" s="37">
        <f t="shared" si="15"/>
        <v>18.899999999999999</v>
      </c>
      <c r="M26" s="29">
        <v>32</v>
      </c>
      <c r="N26" s="33">
        <v>0.5625</v>
      </c>
      <c r="O26" s="16">
        <f t="shared" si="16"/>
        <v>5.6215277777777777</v>
      </c>
      <c r="P26" s="37">
        <f t="shared" si="17"/>
        <v>11.9</v>
      </c>
      <c r="Q26" s="16">
        <f t="shared" si="18"/>
        <v>0.21041666666666664</v>
      </c>
      <c r="R26" s="16">
        <f t="shared" si="19"/>
        <v>1.4590277777777776</v>
      </c>
      <c r="S26" s="24">
        <v>50</v>
      </c>
      <c r="T26" s="24">
        <v>210</v>
      </c>
      <c r="U26" s="14">
        <f t="shared" si="20"/>
        <v>160</v>
      </c>
      <c r="V26" s="59">
        <v>686</v>
      </c>
      <c r="W26" s="14">
        <f t="shared" si="21"/>
        <v>11231</v>
      </c>
      <c r="X26" s="9">
        <f t="shared" si="22"/>
        <v>526</v>
      </c>
      <c r="Y26" s="14">
        <f t="shared" si="23"/>
        <v>11166</v>
      </c>
      <c r="Z26" s="14">
        <f t="shared" si="24"/>
        <v>160</v>
      </c>
      <c r="AA26" s="24">
        <v>210</v>
      </c>
      <c r="AC26" s="55"/>
      <c r="AE26" s="55"/>
      <c r="AF26" s="55"/>
      <c r="AG26" s="55"/>
      <c r="AH26" s="15">
        <f t="shared" si="12"/>
        <v>0</v>
      </c>
    </row>
    <row r="27" spans="1:34" ht="13">
      <c r="A27" s="49" t="s">
        <v>41</v>
      </c>
      <c r="B27" s="45">
        <v>45823</v>
      </c>
      <c r="C27" s="42" t="s">
        <v>129</v>
      </c>
      <c r="D27" s="43" t="s">
        <v>119</v>
      </c>
      <c r="E27" s="44" t="s">
        <v>52</v>
      </c>
      <c r="F27" s="4">
        <v>70</v>
      </c>
      <c r="G27" s="13">
        <f t="shared" si="13"/>
        <v>1925</v>
      </c>
      <c r="H27">
        <f>ROUND(PRODUCT(G27/24),0)</f>
        <v>80</v>
      </c>
      <c r="I27">
        <f>ROUND(PRODUCT(G27/COUNT(F4:F27)),0)</f>
        <v>80</v>
      </c>
      <c r="J27" s="33">
        <v>0.15625</v>
      </c>
      <c r="K27" s="16">
        <f t="shared" si="14"/>
        <v>4.3187500000000005</v>
      </c>
      <c r="L27" s="37">
        <f t="shared" si="15"/>
        <v>18.7</v>
      </c>
      <c r="M27" s="30">
        <v>45</v>
      </c>
      <c r="N27" s="33">
        <v>0.20833333333333334</v>
      </c>
      <c r="O27" s="16">
        <f t="shared" si="16"/>
        <v>5.8298611111111107</v>
      </c>
      <c r="P27" s="37">
        <f t="shared" si="17"/>
        <v>14</v>
      </c>
      <c r="Q27" s="16">
        <f t="shared" si="18"/>
        <v>5.2083333333333343E-2</v>
      </c>
      <c r="R27" s="16">
        <f t="shared" si="19"/>
        <v>1.5111111111111108</v>
      </c>
      <c r="S27" s="24">
        <v>210</v>
      </c>
      <c r="T27" s="24">
        <v>90</v>
      </c>
      <c r="U27" s="14">
        <f t="shared" si="20"/>
        <v>-120</v>
      </c>
      <c r="V27" s="59">
        <v>420</v>
      </c>
      <c r="W27" s="14">
        <f t="shared" si="21"/>
        <v>11651</v>
      </c>
      <c r="X27" s="9">
        <f t="shared" si="22"/>
        <v>540</v>
      </c>
      <c r="Y27" s="14">
        <f t="shared" si="23"/>
        <v>11706</v>
      </c>
      <c r="Z27" s="14">
        <f t="shared" si="24"/>
        <v>-120</v>
      </c>
      <c r="AA27" s="24">
        <v>210</v>
      </c>
      <c r="AC27" s="55"/>
      <c r="AE27" s="55"/>
      <c r="AF27" s="55"/>
      <c r="AG27" s="55"/>
      <c r="AH27" s="15">
        <f t="shared" si="12"/>
        <v>0</v>
      </c>
    </row>
    <row r="28" spans="1:34" ht="13">
      <c r="A28" s="49" t="s">
        <v>42</v>
      </c>
      <c r="B28" s="45">
        <v>45824</v>
      </c>
      <c r="C28" s="46" t="s">
        <v>52</v>
      </c>
      <c r="D28" s="49" t="s">
        <v>96</v>
      </c>
      <c r="E28" s="48" t="s">
        <v>52</v>
      </c>
      <c r="F28" s="4">
        <v>29</v>
      </c>
      <c r="G28" s="13">
        <f t="shared" si="13"/>
        <v>1954</v>
      </c>
      <c r="H28">
        <f>ROUND(PRODUCT(G28/25),0)</f>
        <v>78</v>
      </c>
      <c r="I28">
        <f>ROUND(PRODUCT(G28/COUNT(F4:F28)),0)</f>
        <v>78</v>
      </c>
      <c r="J28" s="33">
        <v>6.25E-2</v>
      </c>
      <c r="K28" s="16">
        <f t="shared" si="14"/>
        <v>4.3812500000000005</v>
      </c>
      <c r="L28" s="37">
        <f t="shared" si="15"/>
        <v>19.3</v>
      </c>
      <c r="M28" s="30">
        <v>37</v>
      </c>
      <c r="N28" s="33">
        <v>8.3333333333333329E-2</v>
      </c>
      <c r="O28" s="16">
        <f t="shared" si="16"/>
        <v>5.9131944444444438</v>
      </c>
      <c r="P28" s="37">
        <f t="shared" si="17"/>
        <v>14.5</v>
      </c>
      <c r="Q28" s="16">
        <f t="shared" si="18"/>
        <v>2.0833333333333329E-2</v>
      </c>
      <c r="R28" s="16">
        <f t="shared" si="19"/>
        <v>1.5319444444444441</v>
      </c>
      <c r="S28" s="24">
        <v>120</v>
      </c>
      <c r="T28" s="24">
        <v>120</v>
      </c>
      <c r="U28" s="14">
        <f t="shared" si="20"/>
        <v>0</v>
      </c>
      <c r="V28" s="59">
        <v>240</v>
      </c>
      <c r="W28" s="14">
        <f t="shared" si="21"/>
        <v>11891</v>
      </c>
      <c r="X28" s="9">
        <f t="shared" si="22"/>
        <v>240</v>
      </c>
      <c r="Y28" s="14">
        <f t="shared" si="23"/>
        <v>11946</v>
      </c>
      <c r="Z28" s="14">
        <f t="shared" si="24"/>
        <v>0</v>
      </c>
      <c r="AA28" s="24">
        <v>220</v>
      </c>
      <c r="AC28" s="55"/>
      <c r="AE28" s="55"/>
      <c r="AF28" s="55"/>
      <c r="AG28" s="55"/>
      <c r="AH28" s="15">
        <f t="shared" si="12"/>
        <v>0</v>
      </c>
    </row>
    <row r="29" spans="1:34" ht="13">
      <c r="A29" s="49" t="s">
        <v>76</v>
      </c>
      <c r="B29" s="45">
        <v>45825</v>
      </c>
      <c r="C29" s="42" t="s">
        <v>52</v>
      </c>
      <c r="D29" s="43" t="s">
        <v>97</v>
      </c>
      <c r="E29" s="44" t="s">
        <v>52</v>
      </c>
      <c r="F29" s="4">
        <v>42</v>
      </c>
      <c r="G29" s="13">
        <f t="shared" si="13"/>
        <v>1996</v>
      </c>
      <c r="H29">
        <f>ROUND(PRODUCT(G29/26),0)</f>
        <v>77</v>
      </c>
      <c r="I29">
        <f>ROUND(PRODUCT(G29/COUNT(F4:F29)),0)</f>
        <v>77</v>
      </c>
      <c r="J29" s="33">
        <v>9.375E-2</v>
      </c>
      <c r="K29" s="16">
        <f t="shared" si="14"/>
        <v>4.4750000000000005</v>
      </c>
      <c r="L29" s="37">
        <f t="shared" si="15"/>
        <v>18.7</v>
      </c>
      <c r="M29" s="30">
        <v>35</v>
      </c>
      <c r="N29" s="33">
        <v>0.125</v>
      </c>
      <c r="O29" s="16">
        <f t="shared" si="16"/>
        <v>6.0381944444444438</v>
      </c>
      <c r="P29" s="37">
        <f t="shared" si="17"/>
        <v>14</v>
      </c>
      <c r="Q29" s="16">
        <f t="shared" si="18"/>
        <v>3.125E-2</v>
      </c>
      <c r="R29" s="16">
        <f t="shared" si="19"/>
        <v>1.5631944444444441</v>
      </c>
      <c r="S29" s="24">
        <v>120</v>
      </c>
      <c r="T29" s="24">
        <v>120</v>
      </c>
      <c r="U29" s="14">
        <f t="shared" si="20"/>
        <v>0</v>
      </c>
      <c r="V29" s="59">
        <v>290</v>
      </c>
      <c r="W29" s="14">
        <f t="shared" si="21"/>
        <v>12181</v>
      </c>
      <c r="X29" s="9">
        <f t="shared" si="22"/>
        <v>290</v>
      </c>
      <c r="Y29" s="14">
        <f t="shared" si="23"/>
        <v>12236</v>
      </c>
      <c r="Z29" s="14">
        <f t="shared" si="24"/>
        <v>0</v>
      </c>
      <c r="AA29" s="24">
        <v>240</v>
      </c>
      <c r="AC29" s="55"/>
      <c r="AE29" s="55"/>
      <c r="AF29" s="55"/>
      <c r="AG29" s="55"/>
      <c r="AH29" s="15">
        <f t="shared" si="12"/>
        <v>0</v>
      </c>
    </row>
    <row r="30" spans="1:34" ht="13">
      <c r="A30" s="49" t="s">
        <v>77</v>
      </c>
      <c r="B30" s="45">
        <v>45826</v>
      </c>
      <c r="C30" s="42" t="s">
        <v>52</v>
      </c>
      <c r="D30" s="43" t="s">
        <v>117</v>
      </c>
      <c r="E30" s="44" t="s">
        <v>112</v>
      </c>
      <c r="F30" s="4">
        <v>23</v>
      </c>
      <c r="G30" s="13">
        <f t="shared" si="13"/>
        <v>2019</v>
      </c>
      <c r="H30">
        <f>ROUND(PRODUCT(G30/27),0)</f>
        <v>75</v>
      </c>
      <c r="I30">
        <f>ROUND(PRODUCT(G30/COUNT(F4:F30)),0)</f>
        <v>75</v>
      </c>
      <c r="J30" s="33">
        <v>5.5555555555555552E-2</v>
      </c>
      <c r="K30" s="16">
        <f t="shared" si="14"/>
        <v>4.5305555555555559</v>
      </c>
      <c r="L30" s="37">
        <f t="shared" si="15"/>
        <v>17.3</v>
      </c>
      <c r="M30" s="30">
        <v>29</v>
      </c>
      <c r="N30" s="33">
        <v>0.125</v>
      </c>
      <c r="O30" s="16">
        <f t="shared" si="16"/>
        <v>6.1631944444444438</v>
      </c>
      <c r="P30" s="37">
        <f t="shared" si="17"/>
        <v>7.7</v>
      </c>
      <c r="Q30" s="16">
        <f t="shared" si="18"/>
        <v>6.9444444444444448E-2</v>
      </c>
      <c r="R30" s="16">
        <f t="shared" si="19"/>
        <v>1.6326388888888885</v>
      </c>
      <c r="S30" s="24">
        <v>120</v>
      </c>
      <c r="T30" s="24">
        <v>64</v>
      </c>
      <c r="U30" s="14">
        <f t="shared" si="20"/>
        <v>-56</v>
      </c>
      <c r="V30" s="59">
        <v>150</v>
      </c>
      <c r="W30" s="14">
        <f t="shared" si="21"/>
        <v>12331</v>
      </c>
      <c r="X30" s="9">
        <f t="shared" si="22"/>
        <v>206</v>
      </c>
      <c r="Y30" s="14">
        <f t="shared" si="23"/>
        <v>12442</v>
      </c>
      <c r="Z30" s="14">
        <f t="shared" si="24"/>
        <v>-56</v>
      </c>
      <c r="AA30" s="24">
        <v>220</v>
      </c>
      <c r="AC30" s="55"/>
      <c r="AE30" s="55"/>
      <c r="AF30" s="55"/>
      <c r="AG30" s="55"/>
      <c r="AH30" s="15">
        <f t="shared" si="12"/>
        <v>0</v>
      </c>
    </row>
    <row r="31" spans="1:34" ht="13">
      <c r="A31" s="49" t="s">
        <v>43</v>
      </c>
      <c r="B31" s="45">
        <v>45827</v>
      </c>
      <c r="C31" s="60" t="s">
        <v>112</v>
      </c>
      <c r="D31" s="62" t="s">
        <v>123</v>
      </c>
      <c r="E31" s="61" t="s">
        <v>120</v>
      </c>
      <c r="F31" s="4">
        <v>74</v>
      </c>
      <c r="G31" s="13">
        <f t="shared" si="13"/>
        <v>2093</v>
      </c>
      <c r="H31">
        <f>ROUND(PRODUCT(G31/28),0)</f>
        <v>75</v>
      </c>
      <c r="I31">
        <f>ROUND(PRODUCT(G31/COUNT(F4:F31)),0)</f>
        <v>75</v>
      </c>
      <c r="J31" s="33">
        <v>0.17986111111111111</v>
      </c>
      <c r="K31" s="16">
        <f t="shared" si="14"/>
        <v>4.7104166666666671</v>
      </c>
      <c r="L31" s="37">
        <f t="shared" si="15"/>
        <v>17.100000000000001</v>
      </c>
      <c r="M31" s="30">
        <v>27</v>
      </c>
      <c r="N31" s="33">
        <v>0.2638888888888889</v>
      </c>
      <c r="O31" s="16">
        <f t="shared" si="16"/>
        <v>6.427083333333333</v>
      </c>
      <c r="P31" s="37">
        <f t="shared" si="17"/>
        <v>11.7</v>
      </c>
      <c r="Q31" s="16">
        <f t="shared" si="18"/>
        <v>8.4027777777777785E-2</v>
      </c>
      <c r="R31" s="16">
        <f t="shared" si="19"/>
        <v>1.7166666666666663</v>
      </c>
      <c r="S31" s="24">
        <v>64</v>
      </c>
      <c r="T31" s="24">
        <v>46</v>
      </c>
      <c r="U31" s="14">
        <f t="shared" si="20"/>
        <v>-18</v>
      </c>
      <c r="V31" s="24">
        <v>328</v>
      </c>
      <c r="W31" s="14">
        <f t="shared" si="21"/>
        <v>12659</v>
      </c>
      <c r="X31" s="9">
        <f t="shared" si="22"/>
        <v>346</v>
      </c>
      <c r="Y31" s="14">
        <f t="shared" si="23"/>
        <v>12788</v>
      </c>
      <c r="Z31" s="14">
        <f t="shared" si="24"/>
        <v>-18</v>
      </c>
      <c r="AA31" s="24">
        <v>140</v>
      </c>
      <c r="AC31" s="55"/>
      <c r="AE31" s="55"/>
      <c r="AF31" s="55"/>
      <c r="AG31" s="55"/>
      <c r="AH31" s="15">
        <f t="shared" si="12"/>
        <v>0</v>
      </c>
    </row>
    <row r="32" spans="1:34" ht="13">
      <c r="A32" s="49" t="s">
        <v>44</v>
      </c>
      <c r="B32" s="45">
        <v>45828</v>
      </c>
      <c r="C32" s="46" t="s">
        <v>120</v>
      </c>
      <c r="D32" s="49" t="s">
        <v>125</v>
      </c>
      <c r="E32" s="48" t="s">
        <v>121</v>
      </c>
      <c r="F32" s="46">
        <v>96</v>
      </c>
      <c r="G32" s="13">
        <f t="shared" si="13"/>
        <v>2189</v>
      </c>
      <c r="H32">
        <f>ROUND(PRODUCT(G32/29),0)</f>
        <v>75</v>
      </c>
      <c r="I32">
        <f>ROUND(PRODUCT(G32/COUNT(F4:F32)),0)</f>
        <v>75</v>
      </c>
      <c r="J32" s="33">
        <v>0.22916666666666666</v>
      </c>
      <c r="K32" s="16">
        <f t="shared" si="14"/>
        <v>4.9395833333333341</v>
      </c>
      <c r="L32" s="37">
        <f t="shared" si="15"/>
        <v>17.5</v>
      </c>
      <c r="M32" s="30">
        <v>25</v>
      </c>
      <c r="N32" s="33">
        <v>0.33333333333333331</v>
      </c>
      <c r="O32" s="16">
        <f t="shared" si="16"/>
        <v>6.7604166666666661</v>
      </c>
      <c r="P32" s="37">
        <f t="shared" si="17"/>
        <v>12</v>
      </c>
      <c r="Q32" s="16">
        <f t="shared" si="18"/>
        <v>0.10416666666666666</v>
      </c>
      <c r="R32" s="16">
        <f t="shared" si="19"/>
        <v>1.8208333333333331</v>
      </c>
      <c r="S32" s="24">
        <v>46</v>
      </c>
      <c r="T32" s="24">
        <v>75</v>
      </c>
      <c r="U32" s="14">
        <f t="shared" si="20"/>
        <v>29</v>
      </c>
      <c r="V32" s="59">
        <v>240</v>
      </c>
      <c r="W32" s="14">
        <f t="shared" si="21"/>
        <v>12899</v>
      </c>
      <c r="X32" s="9">
        <f t="shared" si="22"/>
        <v>211</v>
      </c>
      <c r="Y32" s="14">
        <f t="shared" si="23"/>
        <v>12999</v>
      </c>
      <c r="Z32" s="14">
        <f t="shared" si="24"/>
        <v>29</v>
      </c>
      <c r="AA32" s="24">
        <v>75</v>
      </c>
      <c r="AC32" s="55"/>
      <c r="AE32" s="55"/>
      <c r="AF32" s="55"/>
      <c r="AG32" s="55"/>
      <c r="AH32" s="15">
        <f t="shared" si="12"/>
        <v>0</v>
      </c>
    </row>
    <row r="33" spans="1:34" ht="13">
      <c r="A33" s="49" t="s">
        <v>45</v>
      </c>
      <c r="B33" s="45">
        <v>45829</v>
      </c>
      <c r="C33" s="46" t="s">
        <v>121</v>
      </c>
      <c r="D33" s="49" t="s">
        <v>126</v>
      </c>
      <c r="E33" s="48" t="s">
        <v>122</v>
      </c>
      <c r="F33" s="46">
        <v>67</v>
      </c>
      <c r="G33" s="13">
        <f t="shared" si="13"/>
        <v>2256</v>
      </c>
      <c r="H33">
        <f>ROUND(PRODUCT(G33/30),0)</f>
        <v>75</v>
      </c>
      <c r="I33">
        <f>ROUND(PRODUCT(G33/COUNT(F4:F33)),0)</f>
        <v>75</v>
      </c>
      <c r="J33" s="33">
        <v>0.16597222222222222</v>
      </c>
      <c r="K33" s="16">
        <f t="shared" si="14"/>
        <v>5.1055555555555561</v>
      </c>
      <c r="L33" s="37">
        <f t="shared" si="15"/>
        <v>16.8</v>
      </c>
      <c r="M33" s="30">
        <v>26</v>
      </c>
      <c r="N33" s="33">
        <v>0.27847222222222223</v>
      </c>
      <c r="O33" s="16">
        <f t="shared" si="16"/>
        <v>7.0388888888888879</v>
      </c>
      <c r="P33" s="37">
        <f t="shared" si="17"/>
        <v>10</v>
      </c>
      <c r="Q33" s="16">
        <f t="shared" si="18"/>
        <v>0.11250000000000002</v>
      </c>
      <c r="R33" s="16">
        <f t="shared" si="19"/>
        <v>1.9333333333333331</v>
      </c>
      <c r="S33" s="24">
        <v>75</v>
      </c>
      <c r="T33" s="24">
        <v>46</v>
      </c>
      <c r="U33" s="14">
        <f t="shared" si="20"/>
        <v>-29</v>
      </c>
      <c r="V33" s="59">
        <v>248</v>
      </c>
      <c r="W33" s="14">
        <f t="shared" si="21"/>
        <v>13147</v>
      </c>
      <c r="X33" s="9">
        <f t="shared" si="22"/>
        <v>277</v>
      </c>
      <c r="Y33" s="14">
        <f t="shared" si="23"/>
        <v>13276</v>
      </c>
      <c r="Z33" s="14">
        <f t="shared" si="24"/>
        <v>-29</v>
      </c>
      <c r="AA33" s="24">
        <v>80</v>
      </c>
      <c r="AC33" s="55"/>
      <c r="AE33" s="55"/>
      <c r="AF33" s="55"/>
      <c r="AG33" s="55"/>
      <c r="AH33" s="15">
        <f t="shared" si="12"/>
        <v>0</v>
      </c>
    </row>
    <row r="34" spans="1:34" ht="13">
      <c r="A34" s="49" t="s">
        <v>78</v>
      </c>
      <c r="B34" s="45">
        <v>45830</v>
      </c>
      <c r="C34" s="42" t="s">
        <v>122</v>
      </c>
      <c r="D34" s="43" t="s">
        <v>124</v>
      </c>
      <c r="E34" s="44" t="s">
        <v>52</v>
      </c>
      <c r="F34" s="4">
        <v>24</v>
      </c>
      <c r="G34" s="13">
        <f t="shared" si="13"/>
        <v>2280</v>
      </c>
      <c r="H34">
        <f>ROUND(PRODUCT(G34/31),0)</f>
        <v>74</v>
      </c>
      <c r="I34">
        <f>ROUND(PRODUCT(G34/COUNT(F4:F34)),0)</f>
        <v>74</v>
      </c>
      <c r="J34" s="33">
        <v>5.5555555555555552E-2</v>
      </c>
      <c r="K34" s="16">
        <f t="shared" si="14"/>
        <v>5.1611111111111114</v>
      </c>
      <c r="L34" s="37">
        <f t="shared" si="15"/>
        <v>18</v>
      </c>
      <c r="M34" s="30">
        <v>22</v>
      </c>
      <c r="N34" s="33">
        <v>0.125</v>
      </c>
      <c r="O34" s="16">
        <f t="shared" si="16"/>
        <v>7.1638888888888879</v>
      </c>
      <c r="P34" s="37">
        <f t="shared" si="17"/>
        <v>8</v>
      </c>
      <c r="Q34" s="16">
        <f t="shared" si="18"/>
        <v>6.9444444444444448E-2</v>
      </c>
      <c r="R34" s="16">
        <f t="shared" si="19"/>
        <v>2.0027777777777778</v>
      </c>
      <c r="S34" s="24">
        <v>46</v>
      </c>
      <c r="T34" s="24">
        <v>120</v>
      </c>
      <c r="U34" s="14">
        <f t="shared" si="20"/>
        <v>74</v>
      </c>
      <c r="V34" s="59">
        <v>50</v>
      </c>
      <c r="W34" s="14">
        <f t="shared" si="21"/>
        <v>13197</v>
      </c>
      <c r="X34" s="9">
        <f t="shared" si="22"/>
        <v>-24</v>
      </c>
      <c r="Y34" s="14">
        <f t="shared" si="23"/>
        <v>13252</v>
      </c>
      <c r="Z34" s="14">
        <f t="shared" si="24"/>
        <v>74</v>
      </c>
      <c r="AA34" s="24">
        <v>120</v>
      </c>
      <c r="AC34" s="55"/>
      <c r="AE34" s="55"/>
      <c r="AF34" s="55"/>
      <c r="AG34" s="55"/>
      <c r="AH34" s="15">
        <f t="shared" si="12"/>
        <v>0</v>
      </c>
    </row>
    <row r="35" spans="1:34" ht="13">
      <c r="A35" s="49" t="s">
        <v>79</v>
      </c>
      <c r="B35" s="45">
        <v>45831</v>
      </c>
      <c r="C35" s="42" t="s">
        <v>52</v>
      </c>
      <c r="D35" s="43" t="s">
        <v>127</v>
      </c>
      <c r="E35" s="44" t="s">
        <v>52</v>
      </c>
      <c r="F35" s="4">
        <v>66</v>
      </c>
      <c r="G35" s="13">
        <f t="shared" si="13"/>
        <v>2346</v>
      </c>
      <c r="H35">
        <f>ROUND(PRODUCT(G35/32),0)</f>
        <v>73</v>
      </c>
      <c r="I35">
        <f>ROUND(PRODUCT(G35/COUNT(F4:F35)),0)</f>
        <v>73</v>
      </c>
      <c r="J35" s="33">
        <v>0.13541666666666666</v>
      </c>
      <c r="K35" s="16">
        <f t="shared" si="14"/>
        <v>5.2965277777777784</v>
      </c>
      <c r="L35" s="37">
        <f t="shared" si="15"/>
        <v>20.3</v>
      </c>
      <c r="M35" s="30">
        <v>47</v>
      </c>
      <c r="N35" s="33">
        <v>0.16666666666666666</v>
      </c>
      <c r="O35" s="16">
        <f t="shared" si="16"/>
        <v>7.3305555555555548</v>
      </c>
      <c r="P35" s="37">
        <f t="shared" si="17"/>
        <v>16.5</v>
      </c>
      <c r="Q35" s="16">
        <f t="shared" si="18"/>
        <v>3.125E-2</v>
      </c>
      <c r="R35" s="16">
        <f t="shared" si="19"/>
        <v>2.0340277777777778</v>
      </c>
      <c r="S35" s="24">
        <v>120</v>
      </c>
      <c r="T35" s="24">
        <v>120</v>
      </c>
      <c r="U35" s="14">
        <f t="shared" si="20"/>
        <v>0</v>
      </c>
      <c r="V35" s="59">
        <v>490</v>
      </c>
      <c r="W35" s="14">
        <f t="shared" si="21"/>
        <v>13687</v>
      </c>
      <c r="X35" s="9">
        <f t="shared" si="22"/>
        <v>490</v>
      </c>
      <c r="Y35" s="14">
        <f t="shared" si="23"/>
        <v>13742</v>
      </c>
      <c r="Z35" s="14">
        <f t="shared" si="24"/>
        <v>0</v>
      </c>
      <c r="AA35" s="24">
        <v>220</v>
      </c>
      <c r="AC35" s="55"/>
      <c r="AE35" s="55"/>
      <c r="AF35" s="55"/>
      <c r="AG35" s="55"/>
      <c r="AH35" s="15">
        <f t="shared" si="12"/>
        <v>0</v>
      </c>
    </row>
    <row r="36" spans="1:34" ht="13">
      <c r="A36" s="38" t="s">
        <v>46</v>
      </c>
      <c r="B36" s="45">
        <v>45832</v>
      </c>
      <c r="C36" s="46" t="s">
        <v>52</v>
      </c>
      <c r="D36" s="43" t="s">
        <v>128</v>
      </c>
      <c r="E36" s="48" t="s">
        <v>52</v>
      </c>
      <c r="F36" s="4">
        <v>54</v>
      </c>
      <c r="G36" s="13">
        <f>SUM(G35,F36)</f>
        <v>2400</v>
      </c>
      <c r="H36">
        <f>ROUND(PRODUCT(G36/33),0)</f>
        <v>73</v>
      </c>
      <c r="I36">
        <f>ROUND(PRODUCT(G36/COUNT(F4:F36)),0)</f>
        <v>73</v>
      </c>
      <c r="J36" s="33">
        <v>0.125</v>
      </c>
      <c r="K36" s="16">
        <f>SUM(J36,K35)</f>
        <v>5.4215277777777784</v>
      </c>
      <c r="L36" s="37">
        <f>IF(F36=0,0,ROUND(PRODUCT(F36/SUM(HOUR(J36),PRODUCT(MINUTE(J36)/60))),1))</f>
        <v>18</v>
      </c>
      <c r="M36" s="30">
        <v>45</v>
      </c>
      <c r="N36" s="33">
        <v>0.20833333333333334</v>
      </c>
      <c r="O36" s="16">
        <f>SUM(N36,O35)</f>
        <v>7.5388888888888879</v>
      </c>
      <c r="P36" s="37">
        <f>IF(F36=0,0,ROUND(PRODUCT(F36/SUM(HOUR(N36),PRODUCT(MINUTE(N36)/60))),1))</f>
        <v>10.8</v>
      </c>
      <c r="Q36" s="16">
        <f>SUM(N36,-J36)</f>
        <v>8.3333333333333343E-2</v>
      </c>
      <c r="R36" s="16">
        <f>SUM(Q36,R35)</f>
        <v>2.1173611111111112</v>
      </c>
      <c r="S36" s="24">
        <v>120</v>
      </c>
      <c r="T36" s="24">
        <v>120</v>
      </c>
      <c r="U36" s="14">
        <f>SUM(-S36,T36)</f>
        <v>0</v>
      </c>
      <c r="V36" s="59">
        <v>352</v>
      </c>
      <c r="W36" s="14">
        <f>SUM(W35,V36)</f>
        <v>14039</v>
      </c>
      <c r="X36" s="9">
        <f t="shared" si="22"/>
        <v>352</v>
      </c>
      <c r="Y36" s="14">
        <f>SUM(Y35,X36)</f>
        <v>14094</v>
      </c>
      <c r="Z36" s="14">
        <f>SUM(V36,-X36)</f>
        <v>0</v>
      </c>
      <c r="AA36" s="24">
        <v>240</v>
      </c>
      <c r="AB36" s="24"/>
      <c r="AC36" s="25"/>
      <c r="AD36" s="24"/>
      <c r="AE36" s="25"/>
      <c r="AF36" s="25"/>
      <c r="AG36" s="25"/>
      <c r="AH36" s="15">
        <f t="shared" ref="AH36:AH57" si="25">SUM(AG36,-AF36)</f>
        <v>0</v>
      </c>
    </row>
    <row r="37" spans="1:34" ht="13">
      <c r="A37" s="38" t="s">
        <v>47</v>
      </c>
      <c r="B37" s="45">
        <v>45833</v>
      </c>
      <c r="C37" s="46" t="s">
        <v>52</v>
      </c>
      <c r="D37" s="49" t="s">
        <v>96</v>
      </c>
      <c r="E37" s="48" t="s">
        <v>52</v>
      </c>
      <c r="F37" s="4">
        <v>29</v>
      </c>
      <c r="G37" s="13">
        <f t="shared" ref="G37:G56" si="26">SUM(G36,F37)</f>
        <v>2429</v>
      </c>
      <c r="H37">
        <f>ROUND(PRODUCT(G37/34),0)</f>
        <v>71</v>
      </c>
      <c r="I37">
        <f>ROUND(PRODUCT(G37/COUNT(F4:F37)),0)</f>
        <v>71</v>
      </c>
      <c r="J37" s="33">
        <v>7.2916666666666671E-2</v>
      </c>
      <c r="K37" s="16">
        <f t="shared" ref="K37:K56" si="27">SUM(J37,K36)</f>
        <v>5.4944444444444454</v>
      </c>
      <c r="L37" s="37">
        <f t="shared" ref="L37:L56" si="28">IF(F37=0,0,ROUND(PRODUCT(F37/SUM(HOUR(J37),PRODUCT(MINUTE(J37)/60))),1))</f>
        <v>16.600000000000001</v>
      </c>
      <c r="M37" s="30">
        <v>42</v>
      </c>
      <c r="N37" s="33">
        <v>0.125</v>
      </c>
      <c r="O37" s="16">
        <f t="shared" ref="O37:O56" si="29">SUM(N37,O36)</f>
        <v>7.6638888888888879</v>
      </c>
      <c r="P37" s="37">
        <f t="shared" ref="P37:P56" si="30">IF(F37=0,0,ROUND(PRODUCT(F37/SUM(HOUR(N37),PRODUCT(MINUTE(N37)/60))),1))</f>
        <v>9.6999999999999993</v>
      </c>
      <c r="Q37" s="16">
        <f t="shared" ref="Q37:Q56" si="31">SUM(N37,-J37)</f>
        <v>5.2083333333333329E-2</v>
      </c>
      <c r="R37" s="16">
        <f t="shared" ref="R37:R56" si="32">SUM(Q37,R36)</f>
        <v>2.1694444444444447</v>
      </c>
      <c r="S37" s="24">
        <v>120</v>
      </c>
      <c r="T37" s="24">
        <v>120</v>
      </c>
      <c r="U37" s="14">
        <f t="shared" ref="U37:U56" si="33">SUM(-S37,T37)</f>
        <v>0</v>
      </c>
      <c r="V37" s="59">
        <v>180</v>
      </c>
      <c r="W37" s="14">
        <f t="shared" ref="W37:W56" si="34">SUM(W36,V37)</f>
        <v>14219</v>
      </c>
      <c r="X37" s="24">
        <f t="shared" si="22"/>
        <v>180</v>
      </c>
      <c r="Y37" s="14">
        <f t="shared" ref="Y37:Y56" si="35">SUM(Y36,X37)</f>
        <v>14274</v>
      </c>
      <c r="Z37" s="14">
        <f t="shared" ref="Z37:Z56" si="36">SUM(V37,-X37)</f>
        <v>0</v>
      </c>
      <c r="AA37" s="24">
        <v>220</v>
      </c>
      <c r="AB37" s="24"/>
      <c r="AC37" s="25"/>
      <c r="AD37" s="24"/>
      <c r="AE37" s="25"/>
      <c r="AF37" s="25"/>
      <c r="AG37" s="25"/>
      <c r="AH37" s="15">
        <f t="shared" si="25"/>
        <v>0</v>
      </c>
    </row>
    <row r="38" spans="1:34" ht="13">
      <c r="A38" s="38">
        <v>35</v>
      </c>
      <c r="B38" s="45">
        <v>45834</v>
      </c>
      <c r="C38" s="46" t="s">
        <v>52</v>
      </c>
      <c r="D38" s="49" t="s">
        <v>96</v>
      </c>
      <c r="E38" s="48" t="s">
        <v>52</v>
      </c>
      <c r="F38" s="4">
        <v>19</v>
      </c>
      <c r="G38" s="13">
        <f t="shared" si="26"/>
        <v>2448</v>
      </c>
      <c r="H38">
        <f>ROUND(PRODUCT(G38/35),0)</f>
        <v>70</v>
      </c>
      <c r="I38">
        <f>ROUND(PRODUCT(G38/COUNT(F4:F38)),0)</f>
        <v>70</v>
      </c>
      <c r="J38" s="33">
        <v>4.1666666666666664E-2</v>
      </c>
      <c r="K38" s="16">
        <f t="shared" si="27"/>
        <v>5.5361111111111123</v>
      </c>
      <c r="L38" s="37">
        <f t="shared" si="28"/>
        <v>19</v>
      </c>
      <c r="M38" s="30">
        <v>35</v>
      </c>
      <c r="N38" s="33">
        <v>6.25E-2</v>
      </c>
      <c r="O38" s="16">
        <f t="shared" si="29"/>
        <v>7.7263888888888879</v>
      </c>
      <c r="P38" s="37">
        <f t="shared" si="30"/>
        <v>12.7</v>
      </c>
      <c r="Q38" s="16">
        <f t="shared" si="31"/>
        <v>2.0833333333333336E-2</v>
      </c>
      <c r="R38" s="16">
        <f t="shared" si="32"/>
        <v>2.1902777777777782</v>
      </c>
      <c r="S38" s="24">
        <v>120</v>
      </c>
      <c r="T38" s="24">
        <v>120</v>
      </c>
      <c r="U38" s="14">
        <f t="shared" si="33"/>
        <v>0</v>
      </c>
      <c r="V38" s="59">
        <v>166</v>
      </c>
      <c r="W38" s="14">
        <f t="shared" si="34"/>
        <v>14385</v>
      </c>
      <c r="X38" s="24">
        <f t="shared" si="22"/>
        <v>166</v>
      </c>
      <c r="Y38" s="14">
        <f t="shared" si="35"/>
        <v>14440</v>
      </c>
      <c r="Z38" s="14">
        <f t="shared" si="36"/>
        <v>0</v>
      </c>
      <c r="AA38" s="24">
        <v>220</v>
      </c>
      <c r="AB38" s="24"/>
      <c r="AC38" s="25"/>
      <c r="AD38" s="24"/>
      <c r="AE38" s="25"/>
      <c r="AF38" s="25"/>
      <c r="AG38" s="25"/>
      <c r="AH38" s="15">
        <f t="shared" si="25"/>
        <v>0</v>
      </c>
    </row>
    <row r="39" spans="1:34" ht="13">
      <c r="A39" s="38" t="s">
        <v>80</v>
      </c>
      <c r="B39" s="45">
        <v>45835</v>
      </c>
      <c r="C39" s="46" t="s">
        <v>52</v>
      </c>
      <c r="D39" s="49" t="s">
        <v>130</v>
      </c>
      <c r="E39" s="48" t="s">
        <v>52</v>
      </c>
      <c r="F39" s="4">
        <v>22</v>
      </c>
      <c r="G39" s="13">
        <f t="shared" si="26"/>
        <v>2470</v>
      </c>
      <c r="H39">
        <f>ROUND(PRODUCT(G39/36),0)</f>
        <v>69</v>
      </c>
      <c r="I39">
        <f>ROUND(PRODUCT(G39/COUNT(F4:F39)),0)</f>
        <v>69</v>
      </c>
      <c r="J39" s="33">
        <v>5.6250000000000001E-2</v>
      </c>
      <c r="K39" s="16">
        <f t="shared" si="27"/>
        <v>5.5923611111111127</v>
      </c>
      <c r="L39" s="37">
        <f t="shared" si="28"/>
        <v>16.3</v>
      </c>
      <c r="M39" s="30">
        <v>32</v>
      </c>
      <c r="N39" s="33">
        <v>8.3333333333333329E-2</v>
      </c>
      <c r="O39" s="16">
        <f t="shared" si="29"/>
        <v>7.8097222222222209</v>
      </c>
      <c r="P39" s="37">
        <f t="shared" si="30"/>
        <v>11</v>
      </c>
      <c r="Q39" s="16">
        <f t="shared" si="31"/>
        <v>2.7083333333333327E-2</v>
      </c>
      <c r="R39" s="16">
        <f t="shared" si="32"/>
        <v>2.2173611111111113</v>
      </c>
      <c r="S39" s="24">
        <v>120</v>
      </c>
      <c r="T39" s="24">
        <v>120</v>
      </c>
      <c r="U39" s="14">
        <f t="shared" si="33"/>
        <v>0</v>
      </c>
      <c r="V39" s="59">
        <v>187</v>
      </c>
      <c r="W39" s="14">
        <f t="shared" si="34"/>
        <v>14572</v>
      </c>
      <c r="X39" s="24">
        <f t="shared" si="22"/>
        <v>187</v>
      </c>
      <c r="Y39" s="14">
        <f t="shared" si="35"/>
        <v>14627</v>
      </c>
      <c r="Z39" s="14">
        <f t="shared" si="36"/>
        <v>0</v>
      </c>
      <c r="AA39" s="24">
        <v>220</v>
      </c>
      <c r="AB39" s="24"/>
      <c r="AC39" s="25"/>
      <c r="AD39" s="24"/>
      <c r="AE39" s="25"/>
      <c r="AF39" s="25"/>
      <c r="AG39" s="25"/>
      <c r="AH39" s="15">
        <f t="shared" si="25"/>
        <v>0</v>
      </c>
    </row>
    <row r="40" spans="1:34" ht="13">
      <c r="A40" s="38" t="s">
        <v>81</v>
      </c>
      <c r="B40" s="45">
        <v>45836</v>
      </c>
      <c r="C40" s="46" t="s">
        <v>52</v>
      </c>
      <c r="D40" s="49" t="s">
        <v>131</v>
      </c>
      <c r="E40" s="48" t="s">
        <v>52</v>
      </c>
      <c r="F40" s="4">
        <v>20</v>
      </c>
      <c r="G40" s="13">
        <f t="shared" si="26"/>
        <v>2490</v>
      </c>
      <c r="H40">
        <f>ROUND(PRODUCT(G40/37),0)</f>
        <v>67</v>
      </c>
      <c r="I40">
        <f>ROUND(PRODUCT(G40/COUNT(F4:F40)),0)</f>
        <v>67</v>
      </c>
      <c r="J40" s="33">
        <v>6.25E-2</v>
      </c>
      <c r="K40" s="16">
        <f t="shared" si="27"/>
        <v>5.6548611111111127</v>
      </c>
      <c r="L40" s="37">
        <f t="shared" si="28"/>
        <v>13.3</v>
      </c>
      <c r="M40" s="30">
        <v>23</v>
      </c>
      <c r="N40" s="33">
        <v>8.3333333333333329E-2</v>
      </c>
      <c r="O40" s="16">
        <f t="shared" si="29"/>
        <v>7.8930555555555539</v>
      </c>
      <c r="P40" s="37">
        <f t="shared" si="30"/>
        <v>10</v>
      </c>
      <c r="Q40" s="16">
        <f t="shared" si="31"/>
        <v>2.0833333333333329E-2</v>
      </c>
      <c r="R40" s="16">
        <f t="shared" si="32"/>
        <v>2.2381944444444448</v>
      </c>
      <c r="S40" s="24">
        <v>120</v>
      </c>
      <c r="T40" s="24">
        <v>120</v>
      </c>
      <c r="U40" s="14">
        <f t="shared" si="33"/>
        <v>0</v>
      </c>
      <c r="V40" s="59">
        <v>135</v>
      </c>
      <c r="W40" s="14">
        <f t="shared" si="34"/>
        <v>14707</v>
      </c>
      <c r="X40" s="24">
        <f t="shared" si="22"/>
        <v>135</v>
      </c>
      <c r="Y40" s="14">
        <f t="shared" si="35"/>
        <v>14762</v>
      </c>
      <c r="Z40" s="14">
        <f t="shared" si="36"/>
        <v>0</v>
      </c>
      <c r="AA40" s="24">
        <v>190</v>
      </c>
      <c r="AB40" s="24"/>
      <c r="AC40" s="25"/>
      <c r="AD40" s="24"/>
      <c r="AE40" s="25"/>
      <c r="AF40" s="25"/>
      <c r="AG40" s="25"/>
      <c r="AH40" s="15">
        <f t="shared" si="25"/>
        <v>0</v>
      </c>
    </row>
    <row r="41" spans="1:34" ht="13">
      <c r="A41" s="38" t="s">
        <v>82</v>
      </c>
      <c r="B41" s="45">
        <v>45837</v>
      </c>
      <c r="C41" s="42"/>
      <c r="D41" s="49" t="s">
        <v>52</v>
      </c>
      <c r="E41" s="44"/>
      <c r="F41" s="4"/>
      <c r="G41" s="13">
        <f t="shared" si="26"/>
        <v>2490</v>
      </c>
      <c r="H41">
        <f>ROUND(PRODUCT(G41/38),0)</f>
        <v>66</v>
      </c>
      <c r="I41">
        <f>ROUND(PRODUCT(G41/COUNT(F4:F41)),0)</f>
        <v>67</v>
      </c>
      <c r="J41" s="33"/>
      <c r="K41" s="16">
        <f t="shared" si="27"/>
        <v>5.6548611111111127</v>
      </c>
      <c r="L41" s="37">
        <f t="shared" si="28"/>
        <v>0</v>
      </c>
      <c r="M41" s="30"/>
      <c r="N41" s="33"/>
      <c r="O41" s="16">
        <f t="shared" si="29"/>
        <v>7.8930555555555539</v>
      </c>
      <c r="P41" s="37">
        <f t="shared" si="30"/>
        <v>0</v>
      </c>
      <c r="Q41" s="16">
        <f t="shared" si="31"/>
        <v>0</v>
      </c>
      <c r="R41" s="16">
        <f t="shared" si="32"/>
        <v>2.2381944444444448</v>
      </c>
      <c r="S41" s="24"/>
      <c r="T41" s="24"/>
      <c r="U41" s="14">
        <f t="shared" si="33"/>
        <v>0</v>
      </c>
      <c r="V41" s="53"/>
      <c r="W41" s="14">
        <f t="shared" si="34"/>
        <v>14707</v>
      </c>
      <c r="X41" s="24">
        <f t="shared" si="22"/>
        <v>0</v>
      </c>
      <c r="Y41" s="14">
        <f t="shared" si="35"/>
        <v>14762</v>
      </c>
      <c r="Z41" s="14">
        <f t="shared" si="36"/>
        <v>0</v>
      </c>
      <c r="AA41" s="24"/>
      <c r="AB41" s="24"/>
      <c r="AC41" s="25"/>
      <c r="AD41" s="24"/>
      <c r="AE41" s="25"/>
      <c r="AF41" s="25"/>
      <c r="AG41" s="25"/>
      <c r="AH41" s="15">
        <f>SUM(AG41,-AF41)</f>
        <v>0</v>
      </c>
    </row>
    <row r="42" spans="1:34" ht="13">
      <c r="A42" s="38" t="s">
        <v>83</v>
      </c>
      <c r="B42" s="45">
        <v>45838</v>
      </c>
      <c r="C42" s="46" t="s">
        <v>52</v>
      </c>
      <c r="D42" s="49" t="s">
        <v>130</v>
      </c>
      <c r="E42" s="48" t="s">
        <v>52</v>
      </c>
      <c r="F42" s="4">
        <v>22</v>
      </c>
      <c r="G42" s="13">
        <f t="shared" si="26"/>
        <v>2512</v>
      </c>
      <c r="H42">
        <f>ROUND(PRODUCT(G42/39),0)</f>
        <v>64</v>
      </c>
      <c r="I42">
        <f>ROUND(PRODUCT(G42/COUNT(F4:F42)),0)</f>
        <v>66</v>
      </c>
      <c r="J42" s="33">
        <v>5.0694444444444445E-2</v>
      </c>
      <c r="K42" s="16">
        <f t="shared" si="27"/>
        <v>5.7055555555555575</v>
      </c>
      <c r="L42" s="37">
        <f t="shared" si="28"/>
        <v>18.100000000000001</v>
      </c>
      <c r="M42" s="30">
        <v>35</v>
      </c>
      <c r="N42" s="33">
        <v>8.3333333333333329E-2</v>
      </c>
      <c r="O42" s="16">
        <f t="shared" si="29"/>
        <v>7.976388888888887</v>
      </c>
      <c r="P42" s="37">
        <f t="shared" si="30"/>
        <v>11</v>
      </c>
      <c r="Q42" s="16">
        <f t="shared" si="31"/>
        <v>3.2638888888888884E-2</v>
      </c>
      <c r="R42" s="16">
        <f t="shared" si="32"/>
        <v>2.2708333333333339</v>
      </c>
      <c r="S42" s="24">
        <v>120</v>
      </c>
      <c r="T42" s="24">
        <v>120</v>
      </c>
      <c r="U42" s="14">
        <f t="shared" si="33"/>
        <v>0</v>
      </c>
      <c r="V42" s="53">
        <v>185</v>
      </c>
      <c r="W42" s="14">
        <f t="shared" si="34"/>
        <v>14892</v>
      </c>
      <c r="X42" s="24">
        <f t="shared" si="22"/>
        <v>185</v>
      </c>
      <c r="Y42" s="14">
        <f t="shared" si="35"/>
        <v>14947</v>
      </c>
      <c r="Z42" s="14">
        <f t="shared" si="36"/>
        <v>0</v>
      </c>
      <c r="AA42" s="24">
        <v>220</v>
      </c>
      <c r="AB42" s="24"/>
      <c r="AC42" s="25"/>
      <c r="AD42" s="24"/>
      <c r="AE42" s="25"/>
      <c r="AF42" s="25"/>
      <c r="AG42" s="25"/>
      <c r="AH42" s="15">
        <f t="shared" si="25"/>
        <v>0</v>
      </c>
    </row>
    <row r="43" spans="1:34" ht="13">
      <c r="A43" s="38" t="s">
        <v>48</v>
      </c>
      <c r="B43" s="45">
        <v>45839</v>
      </c>
      <c r="C43" s="46" t="s">
        <v>52</v>
      </c>
      <c r="D43" s="49" t="s">
        <v>130</v>
      </c>
      <c r="E43" s="48" t="s">
        <v>52</v>
      </c>
      <c r="F43" s="4">
        <v>32</v>
      </c>
      <c r="G43" s="13">
        <f t="shared" si="26"/>
        <v>2544</v>
      </c>
      <c r="H43">
        <f>ROUND(PRODUCT(G43/40),0)</f>
        <v>64</v>
      </c>
      <c r="I43">
        <f>ROUND(PRODUCT(G43/COUNT(F4:F43)),0)</f>
        <v>65</v>
      </c>
      <c r="J43" s="33">
        <v>7.9861111111111105E-2</v>
      </c>
      <c r="K43" s="16">
        <f t="shared" si="27"/>
        <v>5.7854166666666682</v>
      </c>
      <c r="L43" s="37">
        <f t="shared" si="28"/>
        <v>16.7</v>
      </c>
      <c r="M43" s="30">
        <v>32</v>
      </c>
      <c r="N43" s="33">
        <v>0.125</v>
      </c>
      <c r="O43" s="16">
        <f t="shared" si="29"/>
        <v>8.1013888888888879</v>
      </c>
      <c r="P43" s="37">
        <f t="shared" si="30"/>
        <v>10.7</v>
      </c>
      <c r="Q43" s="16">
        <f t="shared" si="31"/>
        <v>4.5138888888888895E-2</v>
      </c>
      <c r="R43" s="16">
        <f t="shared" si="32"/>
        <v>2.3159722222222228</v>
      </c>
      <c r="S43" s="24">
        <v>120</v>
      </c>
      <c r="T43" s="24">
        <v>120</v>
      </c>
      <c r="U43" s="14">
        <f t="shared" si="33"/>
        <v>0</v>
      </c>
      <c r="V43" s="53">
        <v>225</v>
      </c>
      <c r="W43" s="14">
        <f t="shared" si="34"/>
        <v>15117</v>
      </c>
      <c r="X43" s="24">
        <f t="shared" si="22"/>
        <v>225</v>
      </c>
      <c r="Y43" s="14">
        <f t="shared" si="35"/>
        <v>15172</v>
      </c>
      <c r="Z43" s="14">
        <f t="shared" si="36"/>
        <v>0</v>
      </c>
      <c r="AA43" s="24">
        <v>220</v>
      </c>
      <c r="AB43" s="24"/>
      <c r="AC43" s="25"/>
      <c r="AD43" s="24"/>
      <c r="AE43" s="25"/>
      <c r="AF43" s="25"/>
      <c r="AG43" s="25"/>
      <c r="AH43" s="15">
        <f t="shared" si="25"/>
        <v>0</v>
      </c>
    </row>
    <row r="44" spans="1:34" ht="13">
      <c r="A44" s="38" t="s">
        <v>49</v>
      </c>
      <c r="B44" s="45">
        <v>45840</v>
      </c>
      <c r="C44" s="46" t="s">
        <v>52</v>
      </c>
      <c r="D44" s="49" t="s">
        <v>130</v>
      </c>
      <c r="E44" s="48" t="s">
        <v>52</v>
      </c>
      <c r="F44" s="4">
        <v>23</v>
      </c>
      <c r="G44" s="13">
        <f t="shared" si="26"/>
        <v>2567</v>
      </c>
      <c r="H44">
        <f>ROUND(PRODUCT(G44/41),0)</f>
        <v>63</v>
      </c>
      <c r="I44">
        <f>ROUND(PRODUCT(G44/COUNT(F4:F44)),0)</f>
        <v>64</v>
      </c>
      <c r="J44" s="33">
        <v>5.2777777777777778E-2</v>
      </c>
      <c r="K44" s="16">
        <f t="shared" si="27"/>
        <v>5.8381944444444462</v>
      </c>
      <c r="L44" s="37">
        <f t="shared" si="28"/>
        <v>18.2</v>
      </c>
      <c r="M44" s="30">
        <v>34</v>
      </c>
      <c r="N44" s="33">
        <v>8.3333333333333329E-2</v>
      </c>
      <c r="O44" s="16">
        <f t="shared" si="29"/>
        <v>8.1847222222222218</v>
      </c>
      <c r="P44" s="37">
        <f t="shared" si="30"/>
        <v>11.5</v>
      </c>
      <c r="Q44" s="16">
        <f t="shared" si="31"/>
        <v>3.0555555555555551E-2</v>
      </c>
      <c r="R44" s="16">
        <f t="shared" si="32"/>
        <v>2.3465277777777782</v>
      </c>
      <c r="S44" s="24">
        <v>120</v>
      </c>
      <c r="T44" s="24">
        <v>120</v>
      </c>
      <c r="U44" s="14">
        <f t="shared" si="33"/>
        <v>0</v>
      </c>
      <c r="V44" s="53">
        <v>185</v>
      </c>
      <c r="W44" s="14">
        <f t="shared" si="34"/>
        <v>15302</v>
      </c>
      <c r="X44" s="24">
        <f t="shared" si="22"/>
        <v>185</v>
      </c>
      <c r="Y44" s="14">
        <f t="shared" si="35"/>
        <v>15357</v>
      </c>
      <c r="Z44" s="14">
        <f t="shared" si="36"/>
        <v>0</v>
      </c>
      <c r="AA44" s="24">
        <v>220</v>
      </c>
      <c r="AB44" s="9"/>
      <c r="AC44" s="25"/>
      <c r="AD44" s="24"/>
      <c r="AE44" s="25"/>
      <c r="AF44" s="25"/>
      <c r="AG44" s="25"/>
      <c r="AH44" s="15">
        <f t="shared" si="25"/>
        <v>0</v>
      </c>
    </row>
    <row r="45" spans="1:34" ht="13">
      <c r="A45" s="38" t="s">
        <v>56</v>
      </c>
      <c r="B45" s="39">
        <v>45841</v>
      </c>
      <c r="C45" s="42" t="s">
        <v>52</v>
      </c>
      <c r="D45" s="63" t="s">
        <v>134</v>
      </c>
      <c r="E45" s="44" t="s">
        <v>95</v>
      </c>
      <c r="F45" s="4">
        <v>33</v>
      </c>
      <c r="G45" s="13">
        <f t="shared" si="26"/>
        <v>2600</v>
      </c>
      <c r="H45">
        <f>ROUND(PRODUCT(G45/42),0)</f>
        <v>62</v>
      </c>
      <c r="I45">
        <f>ROUND(PRODUCT(G45/COUNT(F4:F45)),0)</f>
        <v>63</v>
      </c>
      <c r="J45" s="33">
        <v>8.3333333333333329E-2</v>
      </c>
      <c r="K45" s="16">
        <f t="shared" si="27"/>
        <v>5.9215277777777793</v>
      </c>
      <c r="L45" s="37">
        <f t="shared" si="28"/>
        <v>16.5</v>
      </c>
      <c r="M45" s="30">
        <v>37</v>
      </c>
      <c r="N45" s="33">
        <v>0.125</v>
      </c>
      <c r="O45" s="16">
        <f t="shared" si="29"/>
        <v>8.3097222222222218</v>
      </c>
      <c r="P45" s="37">
        <f t="shared" si="30"/>
        <v>11</v>
      </c>
      <c r="Q45" s="16">
        <f t="shared" si="31"/>
        <v>4.1666666666666671E-2</v>
      </c>
      <c r="R45" s="16">
        <f t="shared" si="32"/>
        <v>2.3881944444444447</v>
      </c>
      <c r="S45" s="24">
        <v>120</v>
      </c>
      <c r="T45" s="24">
        <v>100</v>
      </c>
      <c r="U45" s="14">
        <f t="shared" si="33"/>
        <v>-20</v>
      </c>
      <c r="V45" s="53">
        <v>300</v>
      </c>
      <c r="W45" s="14">
        <f t="shared" si="34"/>
        <v>15602</v>
      </c>
      <c r="X45" s="24">
        <f t="shared" si="22"/>
        <v>320</v>
      </c>
      <c r="Y45" s="14">
        <f t="shared" si="35"/>
        <v>15677</v>
      </c>
      <c r="Z45" s="14">
        <f t="shared" si="36"/>
        <v>-20</v>
      </c>
      <c r="AA45" s="24">
        <v>220</v>
      </c>
      <c r="AB45" s="9"/>
      <c r="AC45" s="25"/>
      <c r="AD45" s="24"/>
      <c r="AE45" s="25"/>
      <c r="AF45" s="25"/>
      <c r="AG45" s="25"/>
      <c r="AH45" s="15">
        <f t="shared" si="25"/>
        <v>0</v>
      </c>
    </row>
    <row r="46" spans="1:34" ht="13">
      <c r="A46" s="38" t="s">
        <v>57</v>
      </c>
      <c r="B46" s="39">
        <v>45842</v>
      </c>
      <c r="C46" s="64"/>
      <c r="D46" s="47" t="s">
        <v>139</v>
      </c>
      <c r="E46" s="65"/>
      <c r="F46" s="4"/>
      <c r="G46" s="13">
        <f t="shared" si="26"/>
        <v>2600</v>
      </c>
      <c r="H46">
        <f>ROUND(PRODUCT(G46/43),0)</f>
        <v>60</v>
      </c>
      <c r="I46">
        <f>ROUND(PRODUCT(G46/COUNT(F4:F46)),0)</f>
        <v>63</v>
      </c>
      <c r="J46" s="33"/>
      <c r="K46" s="16">
        <f t="shared" si="27"/>
        <v>5.9215277777777793</v>
      </c>
      <c r="L46" s="37">
        <f t="shared" si="28"/>
        <v>0</v>
      </c>
      <c r="M46" s="30"/>
      <c r="N46" s="33"/>
      <c r="O46" s="16">
        <f t="shared" si="29"/>
        <v>8.3097222222222218</v>
      </c>
      <c r="P46" s="37">
        <f t="shared" si="30"/>
        <v>0</v>
      </c>
      <c r="Q46" s="16">
        <f t="shared" si="31"/>
        <v>0</v>
      </c>
      <c r="R46" s="16">
        <f t="shared" si="32"/>
        <v>2.3881944444444447</v>
      </c>
      <c r="S46" s="24"/>
      <c r="T46" s="24"/>
      <c r="U46" s="14">
        <f t="shared" si="33"/>
        <v>0</v>
      </c>
      <c r="V46" s="53"/>
      <c r="W46" s="14">
        <f t="shared" si="34"/>
        <v>15602</v>
      </c>
      <c r="X46" s="24">
        <f t="shared" si="22"/>
        <v>0</v>
      </c>
      <c r="Y46" s="14">
        <f t="shared" si="35"/>
        <v>15677</v>
      </c>
      <c r="Z46" s="14">
        <f t="shared" si="36"/>
        <v>0</v>
      </c>
      <c r="AA46" s="24"/>
      <c r="AB46" s="9"/>
      <c r="AC46" s="25"/>
      <c r="AD46" s="24"/>
      <c r="AE46" s="25"/>
      <c r="AF46" s="25"/>
      <c r="AG46" s="25"/>
      <c r="AH46" s="15">
        <f t="shared" si="25"/>
        <v>0</v>
      </c>
    </row>
    <row r="47" spans="1:34" ht="13">
      <c r="A47" s="38" t="s">
        <v>58</v>
      </c>
      <c r="B47" s="39">
        <v>45843</v>
      </c>
      <c r="C47" s="42" t="s">
        <v>135</v>
      </c>
      <c r="D47" s="49" t="s">
        <v>136</v>
      </c>
      <c r="E47" s="44" t="s">
        <v>132</v>
      </c>
      <c r="F47" s="4">
        <v>31</v>
      </c>
      <c r="G47" s="13">
        <f t="shared" si="26"/>
        <v>2631</v>
      </c>
      <c r="H47">
        <f>ROUND(PRODUCT(G47/44),0)</f>
        <v>60</v>
      </c>
      <c r="I47">
        <f>ROUND(PRODUCT(G47/COUNT(F4:F47)),0)</f>
        <v>63</v>
      </c>
      <c r="J47" s="41">
        <v>8.3333333333333329E-2</v>
      </c>
      <c r="K47" s="16">
        <f t="shared" si="27"/>
        <v>6.0048611111111123</v>
      </c>
      <c r="L47" s="37">
        <f t="shared" si="28"/>
        <v>15.5</v>
      </c>
      <c r="M47" s="30">
        <v>33</v>
      </c>
      <c r="N47" s="33">
        <v>0.16666666666666666</v>
      </c>
      <c r="O47" s="16">
        <f t="shared" si="29"/>
        <v>8.4763888888888879</v>
      </c>
      <c r="P47" s="37">
        <f t="shared" si="30"/>
        <v>7.8</v>
      </c>
      <c r="Q47" s="16">
        <f t="shared" si="31"/>
        <v>8.3333333333333329E-2</v>
      </c>
      <c r="R47" s="16">
        <f t="shared" si="32"/>
        <v>2.4715277777777782</v>
      </c>
      <c r="S47" s="24">
        <v>120</v>
      </c>
      <c r="T47" s="24">
        <v>260</v>
      </c>
      <c r="U47" s="14">
        <f t="shared" si="33"/>
        <v>140</v>
      </c>
      <c r="V47" s="53">
        <v>300</v>
      </c>
      <c r="W47" s="14">
        <f t="shared" si="34"/>
        <v>15902</v>
      </c>
      <c r="X47" s="24">
        <f t="shared" si="22"/>
        <v>160</v>
      </c>
      <c r="Y47" s="14">
        <f t="shared" si="35"/>
        <v>15837</v>
      </c>
      <c r="Z47" s="14">
        <f t="shared" si="36"/>
        <v>140</v>
      </c>
      <c r="AA47" s="24">
        <v>260</v>
      </c>
      <c r="AB47" s="9"/>
      <c r="AC47" s="25"/>
      <c r="AD47" s="24"/>
      <c r="AE47" s="25"/>
      <c r="AF47" s="25"/>
      <c r="AG47" s="25"/>
      <c r="AH47" s="15">
        <f t="shared" si="25"/>
        <v>0</v>
      </c>
    </row>
    <row r="48" spans="1:34" ht="13">
      <c r="A48" s="38" t="s">
        <v>59</v>
      </c>
      <c r="B48" s="39">
        <v>45844</v>
      </c>
      <c r="C48" s="42" t="s">
        <v>132</v>
      </c>
      <c r="D48" s="49" t="s">
        <v>133</v>
      </c>
      <c r="E48" s="44" t="s">
        <v>52</v>
      </c>
      <c r="F48" s="4">
        <v>100</v>
      </c>
      <c r="G48" s="13">
        <f t="shared" si="26"/>
        <v>2731</v>
      </c>
      <c r="H48">
        <f>ROUND(PRODUCT(G48/45),0)</f>
        <v>61</v>
      </c>
      <c r="I48">
        <f>ROUND(PRODUCT(G48/COUNT(F4:F48)),0)</f>
        <v>64</v>
      </c>
      <c r="J48" s="33">
        <v>0.21527777777777779</v>
      </c>
      <c r="K48" s="16">
        <f t="shared" si="27"/>
        <v>6.22013888888889</v>
      </c>
      <c r="L48" s="37">
        <f t="shared" si="28"/>
        <v>19.399999999999999</v>
      </c>
      <c r="M48" s="30">
        <v>42</v>
      </c>
      <c r="N48" s="33">
        <v>0.29166666666666669</v>
      </c>
      <c r="O48" s="16">
        <f t="shared" si="29"/>
        <v>8.7680555555555539</v>
      </c>
      <c r="P48" s="37">
        <f t="shared" si="30"/>
        <v>14.3</v>
      </c>
      <c r="Q48" s="16">
        <f t="shared" si="31"/>
        <v>7.6388888888888895E-2</v>
      </c>
      <c r="R48" s="16">
        <f t="shared" si="32"/>
        <v>2.5479166666666671</v>
      </c>
      <c r="S48" s="24">
        <v>260</v>
      </c>
      <c r="T48" s="24">
        <v>120</v>
      </c>
      <c r="U48" s="14">
        <f t="shared" si="33"/>
        <v>-140</v>
      </c>
      <c r="V48" s="53">
        <v>425</v>
      </c>
      <c r="W48" s="14">
        <f t="shared" si="34"/>
        <v>16327</v>
      </c>
      <c r="X48" s="24">
        <f t="shared" si="22"/>
        <v>565</v>
      </c>
      <c r="Y48" s="14">
        <f t="shared" si="35"/>
        <v>16402</v>
      </c>
      <c r="Z48" s="14">
        <f t="shared" si="36"/>
        <v>-140</v>
      </c>
      <c r="AA48" s="24">
        <v>260</v>
      </c>
      <c r="AB48" s="9"/>
      <c r="AC48" s="25"/>
      <c r="AD48" s="24"/>
      <c r="AE48" s="25"/>
      <c r="AF48" s="25"/>
      <c r="AG48" s="25"/>
      <c r="AH48" s="15">
        <f t="shared" si="25"/>
        <v>0</v>
      </c>
    </row>
    <row r="49" spans="1:34" ht="13">
      <c r="A49" s="38" t="s">
        <v>50</v>
      </c>
      <c r="B49" s="39">
        <v>45845</v>
      </c>
      <c r="C49" s="46" t="s">
        <v>52</v>
      </c>
      <c r="D49" s="49" t="s">
        <v>130</v>
      </c>
      <c r="E49" s="48" t="s">
        <v>52</v>
      </c>
      <c r="F49" s="4">
        <v>19</v>
      </c>
      <c r="G49" s="13">
        <f t="shared" si="26"/>
        <v>2750</v>
      </c>
      <c r="H49">
        <f>ROUND(PRODUCT(G49/46),0)</f>
        <v>60</v>
      </c>
      <c r="I49">
        <f>ROUND(PRODUCT(G49/COUNT(F4:F49)),0)</f>
        <v>63</v>
      </c>
      <c r="J49" s="33">
        <v>4.8611111111111112E-2</v>
      </c>
      <c r="K49" s="16">
        <f t="shared" si="27"/>
        <v>6.2687500000000007</v>
      </c>
      <c r="L49" s="37">
        <f t="shared" si="28"/>
        <v>16.3</v>
      </c>
      <c r="M49" s="30">
        <v>37</v>
      </c>
      <c r="N49" s="33">
        <v>8.3333333333333329E-2</v>
      </c>
      <c r="O49" s="16">
        <f t="shared" si="29"/>
        <v>8.8513888888888879</v>
      </c>
      <c r="P49" s="37">
        <f t="shared" si="30"/>
        <v>9.5</v>
      </c>
      <c r="Q49" s="16">
        <f t="shared" si="31"/>
        <v>3.4722222222222217E-2</v>
      </c>
      <c r="R49" s="16">
        <f t="shared" si="32"/>
        <v>2.5826388888888894</v>
      </c>
      <c r="S49" s="24">
        <v>120</v>
      </c>
      <c r="T49" s="24">
        <v>120</v>
      </c>
      <c r="U49" s="14">
        <f t="shared" si="33"/>
        <v>0</v>
      </c>
      <c r="V49" s="53">
        <v>185</v>
      </c>
      <c r="W49" s="14">
        <f t="shared" si="34"/>
        <v>16512</v>
      </c>
      <c r="X49" s="24">
        <f t="shared" si="22"/>
        <v>185</v>
      </c>
      <c r="Y49" s="14">
        <f t="shared" si="35"/>
        <v>16587</v>
      </c>
      <c r="Z49" s="14">
        <f t="shared" si="36"/>
        <v>0</v>
      </c>
      <c r="AA49" s="24">
        <v>220</v>
      </c>
      <c r="AB49" s="9"/>
      <c r="AC49" s="25"/>
      <c r="AD49" s="24"/>
      <c r="AE49" s="25"/>
      <c r="AF49" s="25"/>
      <c r="AG49" s="25"/>
      <c r="AH49" s="15">
        <f t="shared" si="25"/>
        <v>0</v>
      </c>
    </row>
    <row r="50" spans="1:34" ht="13">
      <c r="A50" s="38" t="s">
        <v>51</v>
      </c>
      <c r="B50" s="39">
        <v>45846</v>
      </c>
      <c r="C50" s="42" t="s">
        <v>52</v>
      </c>
      <c r="D50" s="49" t="s">
        <v>88</v>
      </c>
      <c r="E50" s="44" t="s">
        <v>52</v>
      </c>
      <c r="F50" s="4">
        <v>57</v>
      </c>
      <c r="G50" s="13">
        <f t="shared" si="26"/>
        <v>2807</v>
      </c>
      <c r="H50">
        <f>ROUND(PRODUCT(G50/47),0)</f>
        <v>60</v>
      </c>
      <c r="I50">
        <f>ROUND(PRODUCT(G50/COUNT(F4:F50)),0)</f>
        <v>62</v>
      </c>
      <c r="J50" s="41">
        <v>0.11458333333333333</v>
      </c>
      <c r="K50" s="16">
        <f t="shared" si="27"/>
        <v>6.3833333333333337</v>
      </c>
      <c r="L50" s="37">
        <f t="shared" si="28"/>
        <v>20.7</v>
      </c>
      <c r="M50" s="30">
        <v>35</v>
      </c>
      <c r="N50" s="33">
        <v>0.14583333333333334</v>
      </c>
      <c r="O50" s="16">
        <f t="shared" si="29"/>
        <v>8.9972222222222218</v>
      </c>
      <c r="P50" s="37">
        <f t="shared" si="30"/>
        <v>16.3</v>
      </c>
      <c r="Q50" s="16">
        <f t="shared" si="31"/>
        <v>3.1250000000000014E-2</v>
      </c>
      <c r="R50" s="16">
        <f t="shared" si="32"/>
        <v>2.6138888888888894</v>
      </c>
      <c r="S50" s="24">
        <v>120</v>
      </c>
      <c r="T50" s="24">
        <v>120</v>
      </c>
      <c r="U50" s="14">
        <f t="shared" si="33"/>
        <v>0</v>
      </c>
      <c r="V50" s="53">
        <v>324</v>
      </c>
      <c r="W50" s="14">
        <f t="shared" si="34"/>
        <v>16836</v>
      </c>
      <c r="X50" s="24">
        <f t="shared" si="22"/>
        <v>324</v>
      </c>
      <c r="Y50" s="14">
        <f t="shared" si="35"/>
        <v>16911</v>
      </c>
      <c r="Z50" s="14">
        <f t="shared" si="36"/>
        <v>0</v>
      </c>
      <c r="AA50" s="24">
        <v>240</v>
      </c>
      <c r="AB50" s="24"/>
      <c r="AC50" s="25"/>
      <c r="AD50" s="24"/>
      <c r="AE50" s="25"/>
      <c r="AF50" s="25"/>
      <c r="AG50" s="25"/>
      <c r="AH50" s="15">
        <f t="shared" si="25"/>
        <v>0</v>
      </c>
    </row>
    <row r="51" spans="1:34" ht="13">
      <c r="A51" s="38" t="s">
        <v>60</v>
      </c>
      <c r="B51" s="39">
        <v>45847</v>
      </c>
      <c r="C51" s="42" t="s">
        <v>52</v>
      </c>
      <c r="D51" s="49" t="s">
        <v>137</v>
      </c>
      <c r="E51" s="44" t="s">
        <v>52</v>
      </c>
      <c r="F51" s="4">
        <v>37</v>
      </c>
      <c r="G51" s="13">
        <f t="shared" si="26"/>
        <v>2844</v>
      </c>
      <c r="H51">
        <f>ROUND(PRODUCT(G51/48),0)</f>
        <v>59</v>
      </c>
      <c r="I51">
        <f>ROUND(PRODUCT(G51/COUNT(F4:F51)),0)</f>
        <v>62</v>
      </c>
      <c r="J51" s="33">
        <v>9.375E-2</v>
      </c>
      <c r="K51" s="16">
        <f t="shared" si="27"/>
        <v>6.4770833333333337</v>
      </c>
      <c r="L51" s="37">
        <f t="shared" si="28"/>
        <v>16.399999999999999</v>
      </c>
      <c r="M51" s="30">
        <v>23</v>
      </c>
      <c r="N51" s="33">
        <v>0.16666666666666666</v>
      </c>
      <c r="O51" s="16">
        <f t="shared" si="29"/>
        <v>9.1638888888888879</v>
      </c>
      <c r="P51" s="37">
        <f t="shared" si="30"/>
        <v>9.3000000000000007</v>
      </c>
      <c r="Q51" s="16">
        <f t="shared" si="31"/>
        <v>7.2916666666666657E-2</v>
      </c>
      <c r="R51" s="16">
        <f t="shared" si="32"/>
        <v>2.6868055555555559</v>
      </c>
      <c r="S51" s="24">
        <v>120</v>
      </c>
      <c r="T51" s="24">
        <v>120</v>
      </c>
      <c r="U51" s="14">
        <f t="shared" si="33"/>
        <v>0</v>
      </c>
      <c r="V51" s="53">
        <v>180</v>
      </c>
      <c r="W51" s="14">
        <f t="shared" si="34"/>
        <v>17016</v>
      </c>
      <c r="X51" s="24">
        <f t="shared" si="22"/>
        <v>180</v>
      </c>
      <c r="Y51" s="14">
        <f t="shared" si="35"/>
        <v>17091</v>
      </c>
      <c r="Z51" s="14">
        <f t="shared" si="36"/>
        <v>0</v>
      </c>
      <c r="AA51" s="24">
        <v>130</v>
      </c>
      <c r="AB51" s="24"/>
      <c r="AC51" s="25"/>
      <c r="AD51" s="24"/>
      <c r="AE51" s="25"/>
      <c r="AF51" s="25"/>
      <c r="AG51" s="25"/>
      <c r="AH51" s="15">
        <f t="shared" si="25"/>
        <v>0</v>
      </c>
    </row>
    <row r="52" spans="1:34" ht="13">
      <c r="A52" s="38" t="s">
        <v>61</v>
      </c>
      <c r="B52" s="39">
        <v>45848</v>
      </c>
      <c r="C52" s="42" t="s">
        <v>52</v>
      </c>
      <c r="D52" s="49" t="s">
        <v>138</v>
      </c>
      <c r="E52" s="44" t="s">
        <v>52</v>
      </c>
      <c r="F52" s="4">
        <v>32</v>
      </c>
      <c r="G52" s="13">
        <f t="shared" si="26"/>
        <v>2876</v>
      </c>
      <c r="H52">
        <f>ROUND(PRODUCT(G52/49),0)</f>
        <v>59</v>
      </c>
      <c r="I52">
        <f>ROUND(PRODUCT(G52/COUNT(F4:F52)),0)</f>
        <v>61</v>
      </c>
      <c r="J52" s="33">
        <v>7.7777777777777779E-2</v>
      </c>
      <c r="K52" s="16">
        <f t="shared" si="27"/>
        <v>6.5548611111111112</v>
      </c>
      <c r="L52" s="37">
        <f t="shared" si="28"/>
        <v>17.100000000000001</v>
      </c>
      <c r="M52" s="30">
        <v>27</v>
      </c>
      <c r="N52" s="33">
        <v>0.125</v>
      </c>
      <c r="O52" s="16">
        <f t="shared" si="29"/>
        <v>9.2888888888888879</v>
      </c>
      <c r="P52" s="37">
        <f t="shared" si="30"/>
        <v>10.7</v>
      </c>
      <c r="Q52" s="16">
        <f t="shared" si="31"/>
        <v>4.7222222222222221E-2</v>
      </c>
      <c r="R52" s="16">
        <f t="shared" si="32"/>
        <v>2.7340277777777779</v>
      </c>
      <c r="S52" s="24">
        <v>120</v>
      </c>
      <c r="T52" s="24">
        <v>120</v>
      </c>
      <c r="U52" s="14">
        <f t="shared" si="33"/>
        <v>0</v>
      </c>
      <c r="V52" s="53">
        <v>215</v>
      </c>
      <c r="W52" s="14">
        <f t="shared" si="34"/>
        <v>17231</v>
      </c>
      <c r="X52" s="24">
        <f t="shared" si="22"/>
        <v>215</v>
      </c>
      <c r="Y52" s="14">
        <f t="shared" si="35"/>
        <v>17306</v>
      </c>
      <c r="Z52" s="14">
        <f t="shared" si="36"/>
        <v>0</v>
      </c>
      <c r="AA52" s="24">
        <v>230</v>
      </c>
      <c r="AB52" s="24"/>
      <c r="AC52" s="25"/>
      <c r="AD52" s="24"/>
      <c r="AE52" s="25"/>
      <c r="AF52" s="25"/>
      <c r="AG52" s="25"/>
      <c r="AH52" s="15">
        <f t="shared" si="25"/>
        <v>0</v>
      </c>
    </row>
    <row r="53" spans="1:34" ht="13">
      <c r="A53" s="38" t="s">
        <v>62</v>
      </c>
      <c r="B53" s="39">
        <v>45849</v>
      </c>
      <c r="C53" s="42"/>
      <c r="D53" s="63" t="s">
        <v>140</v>
      </c>
      <c r="E53" s="44"/>
      <c r="F53" s="4"/>
      <c r="G53" s="13">
        <f t="shared" si="26"/>
        <v>2876</v>
      </c>
      <c r="H53">
        <f>ROUND(PRODUCT(G53/50),0)</f>
        <v>58</v>
      </c>
      <c r="I53">
        <f>ROUND(PRODUCT(G53/COUNT(F4:F53)),0)</f>
        <v>61</v>
      </c>
      <c r="J53" s="33"/>
      <c r="K53" s="16">
        <f t="shared" si="27"/>
        <v>6.5548611111111112</v>
      </c>
      <c r="L53" s="37">
        <f t="shared" si="28"/>
        <v>0</v>
      </c>
      <c r="M53" s="30"/>
      <c r="N53" s="33"/>
      <c r="O53" s="16">
        <f t="shared" si="29"/>
        <v>9.2888888888888879</v>
      </c>
      <c r="P53" s="37">
        <f t="shared" si="30"/>
        <v>0</v>
      </c>
      <c r="Q53" s="16">
        <f t="shared" si="31"/>
        <v>0</v>
      </c>
      <c r="R53" s="16">
        <f t="shared" si="32"/>
        <v>2.7340277777777779</v>
      </c>
      <c r="S53" s="24"/>
      <c r="T53" s="24"/>
      <c r="U53" s="14">
        <f t="shared" si="33"/>
        <v>0</v>
      </c>
      <c r="V53" s="24"/>
      <c r="W53" s="14">
        <f t="shared" si="34"/>
        <v>17231</v>
      </c>
      <c r="X53" s="24">
        <f t="shared" si="22"/>
        <v>0</v>
      </c>
      <c r="Y53" s="14">
        <f t="shared" si="35"/>
        <v>17306</v>
      </c>
      <c r="Z53" s="14">
        <f t="shared" si="36"/>
        <v>0</v>
      </c>
      <c r="AA53" s="24"/>
      <c r="AB53" s="24"/>
      <c r="AC53" s="25"/>
      <c r="AD53" s="24"/>
      <c r="AE53" s="25"/>
      <c r="AF53" s="25"/>
      <c r="AG53" s="25"/>
      <c r="AH53" s="15">
        <f t="shared" si="25"/>
        <v>0</v>
      </c>
    </row>
    <row r="54" spans="1:34" ht="13">
      <c r="A54" s="49" t="s">
        <v>53</v>
      </c>
      <c r="B54" s="39">
        <v>45850</v>
      </c>
      <c r="C54" s="42" t="s">
        <v>95</v>
      </c>
      <c r="D54" s="43" t="s">
        <v>141</v>
      </c>
      <c r="E54" s="44" t="s">
        <v>52</v>
      </c>
      <c r="F54" s="4">
        <v>107</v>
      </c>
      <c r="G54" s="13">
        <f t="shared" si="26"/>
        <v>2983</v>
      </c>
      <c r="H54">
        <f>ROUND(PRODUCT(G54/51),0)</f>
        <v>58</v>
      </c>
      <c r="I54">
        <f>ROUND(PRODUCT(G54/COUNT(F4:F54)),0)</f>
        <v>62</v>
      </c>
      <c r="J54" s="33">
        <v>0.22222222222222221</v>
      </c>
      <c r="K54" s="16">
        <f t="shared" si="27"/>
        <v>6.7770833333333336</v>
      </c>
      <c r="L54" s="37">
        <f t="shared" si="28"/>
        <v>20.100000000000001</v>
      </c>
      <c r="M54" s="30">
        <v>24</v>
      </c>
      <c r="N54" s="33">
        <v>0.375</v>
      </c>
      <c r="O54" s="16">
        <f t="shared" si="29"/>
        <v>9.6638888888888879</v>
      </c>
      <c r="P54" s="37">
        <f t="shared" si="30"/>
        <v>11.9</v>
      </c>
      <c r="Q54" s="16">
        <f t="shared" si="31"/>
        <v>0.15277777777777779</v>
      </c>
      <c r="R54" s="16">
        <f t="shared" si="32"/>
        <v>2.8868055555555556</v>
      </c>
      <c r="S54" s="24">
        <v>130</v>
      </c>
      <c r="T54" s="24">
        <v>95</v>
      </c>
      <c r="U54" s="14">
        <f t="shared" si="33"/>
        <v>-35</v>
      </c>
      <c r="V54" s="24">
        <v>300</v>
      </c>
      <c r="W54" s="14">
        <f t="shared" si="34"/>
        <v>17531</v>
      </c>
      <c r="X54" s="24">
        <f t="shared" si="22"/>
        <v>335</v>
      </c>
      <c r="Y54" s="14">
        <f t="shared" si="35"/>
        <v>17641</v>
      </c>
      <c r="Z54" s="14">
        <f t="shared" si="36"/>
        <v>-35</v>
      </c>
      <c r="AA54" s="24">
        <v>135</v>
      </c>
      <c r="AB54" s="24"/>
      <c r="AC54" s="25"/>
      <c r="AD54" s="24"/>
      <c r="AE54" s="25"/>
      <c r="AF54" s="25"/>
      <c r="AG54" s="25"/>
      <c r="AH54" s="15">
        <f t="shared" si="25"/>
        <v>0</v>
      </c>
    </row>
    <row r="55" spans="1:34" ht="13">
      <c r="A55" s="49" t="s">
        <v>54</v>
      </c>
      <c r="B55" s="39">
        <v>45851</v>
      </c>
      <c r="C55" s="42"/>
      <c r="D55" s="43" t="s">
        <v>52</v>
      </c>
      <c r="E55" s="44"/>
      <c r="F55" s="4"/>
      <c r="G55" s="13">
        <f t="shared" si="26"/>
        <v>2983</v>
      </c>
      <c r="H55">
        <f>ROUND(PRODUCT(G55/52),0)</f>
        <v>57</v>
      </c>
      <c r="I55">
        <f>ROUND(PRODUCT(G55/COUNT(F4:F55)),0)</f>
        <v>62</v>
      </c>
      <c r="J55" s="33"/>
      <c r="K55" s="16">
        <f t="shared" si="27"/>
        <v>6.7770833333333336</v>
      </c>
      <c r="L55" s="37">
        <f t="shared" si="28"/>
        <v>0</v>
      </c>
      <c r="M55" s="30"/>
      <c r="N55" s="33"/>
      <c r="O55" s="16">
        <f t="shared" si="29"/>
        <v>9.6638888888888879</v>
      </c>
      <c r="P55" s="37">
        <f t="shared" si="30"/>
        <v>0</v>
      </c>
      <c r="Q55" s="16">
        <f t="shared" si="31"/>
        <v>0</v>
      </c>
      <c r="R55" s="16">
        <f t="shared" si="32"/>
        <v>2.8868055555555556</v>
      </c>
      <c r="S55" s="24"/>
      <c r="T55" s="24"/>
      <c r="U55" s="14">
        <f t="shared" si="33"/>
        <v>0</v>
      </c>
      <c r="V55" s="24"/>
      <c r="W55" s="14">
        <f t="shared" si="34"/>
        <v>17531</v>
      </c>
      <c r="X55" s="24">
        <f t="shared" si="22"/>
        <v>0</v>
      </c>
      <c r="Y55" s="14">
        <f t="shared" si="35"/>
        <v>17641</v>
      </c>
      <c r="Z55" s="14">
        <f t="shared" si="36"/>
        <v>0</v>
      </c>
      <c r="AA55" s="24"/>
      <c r="AB55" s="24"/>
      <c r="AC55" s="25"/>
      <c r="AD55" s="24"/>
      <c r="AE55" s="25"/>
      <c r="AF55" s="25"/>
      <c r="AG55" s="25"/>
      <c r="AH55" s="15">
        <f t="shared" si="25"/>
        <v>0</v>
      </c>
    </row>
    <row r="56" spans="1:34" ht="13">
      <c r="A56" s="38" t="s">
        <v>63</v>
      </c>
      <c r="B56" s="39">
        <v>45852</v>
      </c>
      <c r="C56" s="42" t="s">
        <v>52</v>
      </c>
      <c r="D56" s="49" t="s">
        <v>138</v>
      </c>
      <c r="E56" s="44" t="s">
        <v>52</v>
      </c>
      <c r="F56" s="4">
        <v>24</v>
      </c>
      <c r="G56" s="13">
        <f t="shared" si="26"/>
        <v>3007</v>
      </c>
      <c r="H56">
        <f>ROUND(PRODUCT(G56/53),0)</f>
        <v>57</v>
      </c>
      <c r="I56">
        <f>ROUND(PRODUCT(G56/COUNT(F4:F56)),0)</f>
        <v>61</v>
      </c>
      <c r="J56" s="33">
        <v>6.25E-2</v>
      </c>
      <c r="K56" s="16">
        <f t="shared" si="27"/>
        <v>6.8395833333333336</v>
      </c>
      <c r="L56" s="37">
        <f t="shared" si="28"/>
        <v>16</v>
      </c>
      <c r="M56" s="30">
        <v>27</v>
      </c>
      <c r="N56" s="33">
        <v>8.3333333333333329E-2</v>
      </c>
      <c r="O56" s="16">
        <f t="shared" si="29"/>
        <v>9.7472222222222218</v>
      </c>
      <c r="P56" s="37">
        <f t="shared" si="30"/>
        <v>12</v>
      </c>
      <c r="Q56" s="16">
        <f t="shared" si="31"/>
        <v>2.0833333333333329E-2</v>
      </c>
      <c r="R56" s="16">
        <f t="shared" si="32"/>
        <v>2.9076388888888891</v>
      </c>
      <c r="S56" s="24">
        <v>120</v>
      </c>
      <c r="T56" s="24">
        <v>120</v>
      </c>
      <c r="U56" s="14">
        <f t="shared" si="33"/>
        <v>0</v>
      </c>
      <c r="V56" s="24">
        <v>175</v>
      </c>
      <c r="W56" s="14">
        <f t="shared" si="34"/>
        <v>17706</v>
      </c>
      <c r="X56" s="24">
        <f t="shared" si="22"/>
        <v>175</v>
      </c>
      <c r="Y56" s="14">
        <f t="shared" si="35"/>
        <v>17816</v>
      </c>
      <c r="Z56" s="14">
        <f t="shared" si="36"/>
        <v>0</v>
      </c>
      <c r="AA56" s="24">
        <v>230</v>
      </c>
      <c r="AB56" s="24"/>
      <c r="AC56" s="25"/>
      <c r="AD56" s="24"/>
      <c r="AE56" s="25"/>
      <c r="AF56" s="25"/>
      <c r="AG56" s="25"/>
      <c r="AH56" s="15">
        <f t="shared" si="25"/>
        <v>0</v>
      </c>
    </row>
    <row r="57" spans="1:34" ht="13">
      <c r="A57" s="38" t="s">
        <v>55</v>
      </c>
      <c r="B57" s="45">
        <v>45853</v>
      </c>
      <c r="C57" s="42" t="s">
        <v>52</v>
      </c>
      <c r="D57" s="43" t="s">
        <v>143</v>
      </c>
      <c r="E57" s="44" t="s">
        <v>52</v>
      </c>
      <c r="F57" s="4">
        <v>67</v>
      </c>
      <c r="G57" s="13">
        <f>SUM(G56,F57)</f>
        <v>3074</v>
      </c>
      <c r="H57">
        <f>ROUND(PRODUCT(G57/54),0)</f>
        <v>57</v>
      </c>
      <c r="I57">
        <f>ROUND(PRODUCT(G57/COUNT(F4:F57)),0)</f>
        <v>61</v>
      </c>
      <c r="J57" s="33">
        <v>0.13958333333333334</v>
      </c>
      <c r="K57" s="16">
        <f>SUM(J57,K56)</f>
        <v>6.979166666666667</v>
      </c>
      <c r="L57" s="37">
        <f>IF(F57=0,0,ROUND(PRODUCT(F57/SUM(HOUR(J57),PRODUCT(MINUTE(J57)/60))),1))</f>
        <v>20</v>
      </c>
      <c r="M57" s="30">
        <v>32</v>
      </c>
      <c r="N57" s="33">
        <v>0.20833333333333334</v>
      </c>
      <c r="O57" s="16">
        <f>SUM(N57,O56)</f>
        <v>9.9555555555555557</v>
      </c>
      <c r="P57" s="37">
        <f>IF(F57=0,0,ROUND(PRODUCT(F57/SUM(HOUR(N57),PRODUCT(MINUTE(N57)/60))),1))</f>
        <v>13.4</v>
      </c>
      <c r="Q57" s="16">
        <f>SUM(N57,-J57)</f>
        <v>6.8750000000000006E-2</v>
      </c>
      <c r="R57" s="16">
        <f>SUM(Q57,R56)</f>
        <v>2.9763888888888892</v>
      </c>
      <c r="S57" s="24">
        <v>120</v>
      </c>
      <c r="T57" s="24">
        <v>120</v>
      </c>
      <c r="U57" s="14">
        <f>SUM(-S57,T57)</f>
        <v>0</v>
      </c>
      <c r="V57" s="59">
        <v>330</v>
      </c>
      <c r="W57" s="14">
        <f>SUM(W56,V57)</f>
        <v>18036</v>
      </c>
      <c r="X57" s="9">
        <f>SUM(S57,-T57,V57)</f>
        <v>330</v>
      </c>
      <c r="Y57" s="14">
        <f>SUM(Y56,X57)</f>
        <v>18146</v>
      </c>
      <c r="Z57" s="14">
        <f>SUM(V57,-X57)</f>
        <v>0</v>
      </c>
      <c r="AA57" s="24">
        <v>240</v>
      </c>
      <c r="AB57" s="24"/>
      <c r="AC57" s="25"/>
      <c r="AD57" s="24"/>
      <c r="AE57" s="25"/>
      <c r="AF57" s="25"/>
      <c r="AG57" s="25"/>
      <c r="AH57" s="15">
        <f t="shared" si="25"/>
        <v>0</v>
      </c>
    </row>
    <row r="58" spans="1:34" ht="13">
      <c r="A58" s="38" t="s">
        <v>64</v>
      </c>
      <c r="B58" s="45">
        <v>46219</v>
      </c>
      <c r="C58" s="46" t="s">
        <v>52</v>
      </c>
      <c r="D58" s="49" t="s">
        <v>130</v>
      </c>
      <c r="E58" s="48" t="s">
        <v>52</v>
      </c>
      <c r="F58" s="4">
        <v>21</v>
      </c>
      <c r="G58" s="13">
        <f>SUM(G57,F58)</f>
        <v>3095</v>
      </c>
      <c r="H58">
        <f>ROUND(PRODUCT(G58/55),0)</f>
        <v>56</v>
      </c>
      <c r="I58">
        <f>ROUND(PRODUCT(G58/COUNT(F4:F58)),0)</f>
        <v>61</v>
      </c>
      <c r="J58" s="33">
        <v>4.8611111111111112E-2</v>
      </c>
      <c r="K58" s="16">
        <f>SUM(J58,K57)</f>
        <v>7.0277777777777777</v>
      </c>
      <c r="L58" s="37">
        <f>IF(F58=0,0,ROUND(PRODUCT(F58/SUM(HOUR(J58),PRODUCT(MINUTE(J58)/60))),1))</f>
        <v>18</v>
      </c>
      <c r="M58" s="30">
        <v>25</v>
      </c>
      <c r="N58" s="33">
        <v>8.3333333333333329E-2</v>
      </c>
      <c r="O58" s="16">
        <f>SUM(N58,O57)</f>
        <v>10.03888888888889</v>
      </c>
      <c r="P58" s="37">
        <f>IF(F58=0,0,ROUND(PRODUCT(F58/SUM(HOUR(N58),PRODUCT(MINUTE(N58)/60))),1))</f>
        <v>10.5</v>
      </c>
      <c r="Q58" s="16">
        <f>SUM(N58,-J58)</f>
        <v>3.4722222222222217E-2</v>
      </c>
      <c r="R58" s="16">
        <f>SUM(Q58,R57)</f>
        <v>3.0111111111111115</v>
      </c>
      <c r="S58" s="24">
        <v>120</v>
      </c>
      <c r="T58" s="24">
        <v>120</v>
      </c>
      <c r="U58" s="14">
        <f>SUM(-S58,T58)</f>
        <v>0</v>
      </c>
      <c r="V58" s="59">
        <v>180</v>
      </c>
      <c r="W58" s="14">
        <f>SUM(W57,V58)</f>
        <v>18216</v>
      </c>
      <c r="X58" s="9">
        <f>SUM(S58,-T58,V58)</f>
        <v>180</v>
      </c>
      <c r="Y58" s="14">
        <f>SUM(Y57,X58)</f>
        <v>18326</v>
      </c>
      <c r="Z58" s="14">
        <f>SUM(V58,-X58)</f>
        <v>0</v>
      </c>
      <c r="AA58" s="24">
        <v>230</v>
      </c>
      <c r="AB58" s="24"/>
      <c r="AC58" s="25"/>
      <c r="AD58" s="24"/>
      <c r="AE58" s="25"/>
      <c r="AF58" s="25"/>
      <c r="AG58" s="25"/>
      <c r="AH58" s="15">
        <f>SUM(AG58,-AF58)</f>
        <v>0</v>
      </c>
    </row>
    <row r="59" spans="1:34" ht="13">
      <c r="A59" s="38" t="s">
        <v>65</v>
      </c>
      <c r="B59" s="45">
        <v>45855</v>
      </c>
      <c r="C59" s="46" t="s">
        <v>52</v>
      </c>
      <c r="D59" s="49" t="s">
        <v>130</v>
      </c>
      <c r="E59" s="48" t="s">
        <v>52</v>
      </c>
      <c r="F59" s="4">
        <v>26</v>
      </c>
      <c r="G59" s="13">
        <f>SUM(G58,F59)</f>
        <v>3121</v>
      </c>
      <c r="H59">
        <f>ROUND(PRODUCT(G59/56),0)</f>
        <v>56</v>
      </c>
      <c r="I59">
        <f>ROUND(PRODUCT(G59/COUNT(F4:F59)),0)</f>
        <v>60</v>
      </c>
      <c r="J59" s="33">
        <v>6.3888888888888884E-2</v>
      </c>
      <c r="K59" s="16">
        <f>SUM(J59,K58)</f>
        <v>7.0916666666666668</v>
      </c>
      <c r="L59" s="37">
        <f>IF(F59=0,0,ROUND(PRODUCT(F59/SUM(HOUR(J59),PRODUCT(MINUTE(J59)/60))),1))</f>
        <v>17</v>
      </c>
      <c r="M59" s="30">
        <v>33</v>
      </c>
      <c r="N59" s="33">
        <v>8.3333333333333329E-2</v>
      </c>
      <c r="O59" s="16">
        <f>SUM(N59,O58)</f>
        <v>10.122222222222224</v>
      </c>
      <c r="P59" s="37">
        <f>IF(F59=0,0,ROUND(PRODUCT(F59/SUM(HOUR(N59),PRODUCT(MINUTE(N59)/60))),1))</f>
        <v>13</v>
      </c>
      <c r="Q59" s="16">
        <f>SUM(N59,-J59)</f>
        <v>1.9444444444444445E-2</v>
      </c>
      <c r="R59" s="16">
        <f>SUM(Q59,R58)</f>
        <v>3.0305555555555559</v>
      </c>
      <c r="S59" s="24">
        <v>120</v>
      </c>
      <c r="T59" s="24">
        <v>120</v>
      </c>
      <c r="U59" s="14">
        <f>SUM(-S59,T59)</f>
        <v>0</v>
      </c>
      <c r="V59" s="59">
        <v>230</v>
      </c>
      <c r="W59" s="14">
        <f>SUM(W58,V59)</f>
        <v>18446</v>
      </c>
      <c r="X59" s="24">
        <f>SUM(S59,-T59,V59)</f>
        <v>230</v>
      </c>
      <c r="Y59" s="14">
        <f>SUM(Y58,X59)</f>
        <v>18556</v>
      </c>
      <c r="Z59" s="14">
        <f>SUM(V59,-X59)</f>
        <v>0</v>
      </c>
      <c r="AA59" s="24">
        <v>230</v>
      </c>
      <c r="AB59" s="24"/>
      <c r="AC59" s="25"/>
      <c r="AD59" s="24"/>
      <c r="AE59" s="25"/>
      <c r="AF59" s="25"/>
      <c r="AG59" s="25"/>
      <c r="AH59" s="15">
        <f>SUM(AG59,-AF59)</f>
        <v>0</v>
      </c>
    </row>
    <row r="60" spans="1:34" ht="13">
      <c r="A60" s="38" t="s">
        <v>66</v>
      </c>
      <c r="B60" s="45">
        <v>45856</v>
      </c>
      <c r="C60" s="46" t="s">
        <v>52</v>
      </c>
      <c r="D60" s="43" t="s">
        <v>147</v>
      </c>
      <c r="E60" s="48" t="s">
        <v>144</v>
      </c>
      <c r="F60" s="4">
        <v>67</v>
      </c>
      <c r="G60" s="13">
        <f>SUM(G59,F60)</f>
        <v>3188</v>
      </c>
      <c r="H60">
        <f>ROUND(PRODUCT(G60/57),0)</f>
        <v>56</v>
      </c>
      <c r="I60">
        <f>ROUND(PRODUCT(G60/COUNT(F4:F60)),0)</f>
        <v>60</v>
      </c>
      <c r="J60" s="33">
        <v>0.16666666666666666</v>
      </c>
      <c r="K60" s="16">
        <f>SUM(J60,K59)</f>
        <v>7.2583333333333337</v>
      </c>
      <c r="L60" s="37">
        <f>IF(F60=0,0,ROUND(PRODUCT(F60/SUM(HOUR(J60),PRODUCT(MINUTE(J60)/60))),1))</f>
        <v>16.8</v>
      </c>
      <c r="M60" s="30">
        <v>33</v>
      </c>
      <c r="N60" s="33">
        <v>0.20833333333333334</v>
      </c>
      <c r="O60" s="16">
        <f>SUM(N60,O59)</f>
        <v>10.330555555555557</v>
      </c>
      <c r="P60" s="37">
        <f>IF(F60=0,0,ROUND(PRODUCT(F60/SUM(HOUR(N60),PRODUCT(MINUTE(N60)/60))),1))</f>
        <v>13.4</v>
      </c>
      <c r="Q60" s="16">
        <f>SUM(N60,-J60)</f>
        <v>4.1666666666666685E-2</v>
      </c>
      <c r="R60" s="16">
        <f>SUM(Q60,R59)</f>
        <v>3.0722222222222224</v>
      </c>
      <c r="S60" s="24">
        <v>120</v>
      </c>
      <c r="T60" s="24">
        <v>30</v>
      </c>
      <c r="U60" s="14">
        <f>SUM(-S60,T60)</f>
        <v>-90</v>
      </c>
      <c r="V60" s="59">
        <v>290</v>
      </c>
      <c r="W60" s="14">
        <f>SUM(W59,V60)</f>
        <v>18736</v>
      </c>
      <c r="X60" s="24">
        <f>SUM(S60,-T60,V60)</f>
        <v>380</v>
      </c>
      <c r="Y60" s="14">
        <f>SUM(Y59,X60)</f>
        <v>18936</v>
      </c>
      <c r="Z60" s="14">
        <f>SUM(V60,-X60)</f>
        <v>-90</v>
      </c>
      <c r="AA60" s="24">
        <v>220</v>
      </c>
      <c r="AB60" s="24"/>
      <c r="AC60" s="25"/>
      <c r="AD60" s="24"/>
      <c r="AE60" s="25"/>
      <c r="AF60" s="25"/>
      <c r="AG60" s="25"/>
      <c r="AH60" s="15">
        <f>SUM(AG60,-AF60)</f>
        <v>0</v>
      </c>
    </row>
    <row r="61" spans="1:34" ht="13">
      <c r="A61" s="38" t="s">
        <v>67</v>
      </c>
      <c r="B61" s="45">
        <v>45857</v>
      </c>
      <c r="C61" s="46" t="s">
        <v>144</v>
      </c>
      <c r="D61" s="49" t="s">
        <v>148</v>
      </c>
      <c r="E61" s="48" t="s">
        <v>149</v>
      </c>
      <c r="F61" s="4">
        <v>109</v>
      </c>
      <c r="G61" s="13">
        <f>SUM(G60,F61)</f>
        <v>3297</v>
      </c>
      <c r="H61">
        <f>ROUND(PRODUCT(G61/58),0)</f>
        <v>57</v>
      </c>
      <c r="I61">
        <f>ROUND(PRODUCT(G61/COUNT(F4:F61)),0)</f>
        <v>61</v>
      </c>
      <c r="J61" s="33">
        <v>0.25</v>
      </c>
      <c r="K61" s="16">
        <f>SUM(J61,K60)</f>
        <v>7.5083333333333337</v>
      </c>
      <c r="L61" s="37">
        <f>IF(F61=0,0,ROUND(PRODUCT(F61/SUM(HOUR(J61),PRODUCT(MINUTE(J61)/60))),1))</f>
        <v>18.2</v>
      </c>
      <c r="M61" s="30">
        <v>23</v>
      </c>
      <c r="N61" s="33">
        <v>0.375</v>
      </c>
      <c r="O61" s="16">
        <f>SUM(N61,O60)</f>
        <v>10.705555555555557</v>
      </c>
      <c r="P61" s="37">
        <f>IF(F61=0,0,ROUND(PRODUCT(F61/SUM(HOUR(N61),PRODUCT(MINUTE(N61)/60))),1))</f>
        <v>12.1</v>
      </c>
      <c r="Q61" s="16">
        <f>SUM(N61,-J61)</f>
        <v>0.125</v>
      </c>
      <c r="R61" s="16">
        <f>SUM(Q61,R60)</f>
        <v>3.1972222222222224</v>
      </c>
      <c r="S61" s="24">
        <v>30</v>
      </c>
      <c r="T61" s="24">
        <v>255</v>
      </c>
      <c r="U61" s="14">
        <f>SUM(-S61,T61)</f>
        <v>225</v>
      </c>
      <c r="V61" s="59">
        <v>580</v>
      </c>
      <c r="W61" s="14">
        <f>SUM(W60,V61)</f>
        <v>19316</v>
      </c>
      <c r="X61" s="24">
        <f>SUM(S61,-T61,V61)</f>
        <v>355</v>
      </c>
      <c r="Y61" s="14">
        <f>SUM(Y60,X61)</f>
        <v>19291</v>
      </c>
      <c r="Z61" s="14">
        <f>SUM(V61,-X61)</f>
        <v>225</v>
      </c>
      <c r="AA61" s="24">
        <v>255</v>
      </c>
      <c r="AB61" s="24"/>
      <c r="AC61" s="25"/>
      <c r="AD61" s="24"/>
      <c r="AE61" s="25"/>
      <c r="AF61" s="25"/>
      <c r="AG61" s="25"/>
      <c r="AH61" s="15">
        <f>SUM(AG61,-AF61)</f>
        <v>0</v>
      </c>
    </row>
    <row r="62" spans="1:34" ht="13">
      <c r="A62" s="26" t="s">
        <v>5</v>
      </c>
      <c r="B62" s="76"/>
      <c r="C62" s="77"/>
      <c r="D62" s="77"/>
      <c r="E62" s="78"/>
      <c r="F62" s="27">
        <f>SUM(F4:F61)</f>
        <v>3297</v>
      </c>
      <c r="G62" s="17">
        <f>SUM(G61)</f>
        <v>3297</v>
      </c>
      <c r="H62" s="17">
        <f>SUM(H61)</f>
        <v>57</v>
      </c>
      <c r="I62" s="17">
        <f>SUM(I61)</f>
        <v>61</v>
      </c>
      <c r="J62" s="18">
        <f>SUM(J4:J61)</f>
        <v>7.5083333333333337</v>
      </c>
      <c r="K62" s="32">
        <f>F62/SUM(HOUR(J62)+(ROUNDDOWN(J62,0)*24),PRODUCT(MINUTE(J62)/60))</f>
        <v>18.296337402885683</v>
      </c>
      <c r="L62" s="36">
        <f>SUM(L4:L61)/COUNT(F4:F61)</f>
        <v>17.766666666666666</v>
      </c>
      <c r="M62" s="40">
        <f>PRODUCT(SUM(M4:M61),1/COUNT(M4:M61))</f>
        <v>35.101851851851848</v>
      </c>
      <c r="N62" s="18">
        <f>SUM(N4:N61)</f>
        <v>10.705555555555557</v>
      </c>
      <c r="O62" s="32">
        <f>F62/SUM(HOUR(N62)+(ROUNDDOWN(N62,0)*24),PRODUCT(MINUTE(N62)/60))</f>
        <v>12.832122470160872</v>
      </c>
      <c r="P62" s="36">
        <f>SUM(P4:P61)/COUNT(F4:F61)</f>
        <v>12.405555555555553</v>
      </c>
      <c r="Q62" s="18">
        <f>SUM(Q4:Q61)</f>
        <v>3.1972222222222224</v>
      </c>
      <c r="R62" s="17"/>
      <c r="S62" s="17">
        <f>ROUND(SUM(S4:S61)/COUNT(S4:S61),0)</f>
        <v>129</v>
      </c>
      <c r="T62" s="17">
        <f>ROUND(SUM(T4:T61)/COUNT(T4:T61),0)</f>
        <v>130</v>
      </c>
      <c r="U62" s="19">
        <f>SUM(U4:U61)</f>
        <v>25</v>
      </c>
      <c r="V62" s="17">
        <f>ROUND(SUM(V4:V61)/COUNT(V4:V61),0)</f>
        <v>358</v>
      </c>
      <c r="W62" s="17">
        <f>SUM(W61)</f>
        <v>19316</v>
      </c>
      <c r="X62" s="17">
        <f>ROUND(SUM(X4:X61)/COUNT(V4:V61),0)</f>
        <v>357</v>
      </c>
      <c r="Y62" s="17">
        <f>SUM(Y61)</f>
        <v>19291</v>
      </c>
      <c r="Z62" s="19">
        <f>SUM(Z4:Z61)</f>
        <v>25</v>
      </c>
      <c r="AA62" s="17">
        <f>ROUND(SUM(AA4:AA61)/COUNT(AA4:AA61),0)</f>
        <v>222</v>
      </c>
      <c r="AB62" s="31" t="e">
        <f t="shared" ref="AB62:AG62" si="37">SUM(AB4:AB61)/COUNT(AB4:AB61)</f>
        <v>#DIV/0!</v>
      </c>
      <c r="AC62" s="31" t="e">
        <f t="shared" si="37"/>
        <v>#DIV/0!</v>
      </c>
      <c r="AD62" s="31" t="e">
        <f t="shared" si="37"/>
        <v>#DIV/0!</v>
      </c>
      <c r="AE62" s="31" t="e">
        <f t="shared" si="37"/>
        <v>#DIV/0!</v>
      </c>
      <c r="AF62" s="31" t="e">
        <f t="shared" si="37"/>
        <v>#DIV/0!</v>
      </c>
      <c r="AG62" s="31" t="e">
        <f t="shared" si="37"/>
        <v>#DIV/0!</v>
      </c>
      <c r="AH62" s="31" t="e">
        <f>SUM(AH4:AH61)/COUNT(AG4:AG61)</f>
        <v>#DIV/0!</v>
      </c>
    </row>
    <row r="63" spans="1:34" ht="13">
      <c r="E63" s="66"/>
      <c r="F63" s="57"/>
      <c r="G63" s="57"/>
      <c r="I63" s="57"/>
      <c r="J63" s="57"/>
      <c r="K63" s="57"/>
      <c r="Q63" s="9"/>
      <c r="R63" s="9"/>
      <c r="S63" s="9"/>
      <c r="W63" s="14"/>
      <c r="Y63" s="14"/>
    </row>
    <row r="64" spans="1:34" ht="13">
      <c r="B64" s="55"/>
      <c r="C64" s="55"/>
      <c r="D64" s="55"/>
      <c r="E64" s="55"/>
      <c r="F64" s="55"/>
      <c r="I64" s="58"/>
      <c r="J64" s="58"/>
      <c r="O64" s="9"/>
      <c r="P64" s="9"/>
      <c r="Q64" s="9"/>
      <c r="R64" s="28"/>
      <c r="S64" s="9"/>
      <c r="T64" s="9"/>
      <c r="U64" s="9"/>
      <c r="V64" s="9"/>
      <c r="W64" s="14"/>
      <c r="X64" s="9"/>
      <c r="Y64" s="14"/>
      <c r="Z64" s="9"/>
      <c r="AA64" s="9"/>
    </row>
    <row r="65" spans="2:27" ht="13">
      <c r="B65" s="68"/>
      <c r="C65" s="55"/>
      <c r="D65" s="55"/>
      <c r="E65" s="55"/>
      <c r="F65" s="55"/>
      <c r="N65" s="35"/>
      <c r="O65" s="9"/>
      <c r="P65" s="9"/>
      <c r="Q65" s="34"/>
      <c r="R65" s="34"/>
      <c r="S65" s="9"/>
      <c r="T65" s="9"/>
      <c r="U65" s="9"/>
      <c r="V65" s="9"/>
      <c r="W65" s="9"/>
      <c r="X65" s="9"/>
      <c r="Y65" s="9"/>
      <c r="Z65" s="9"/>
      <c r="AA65" s="9"/>
    </row>
    <row r="66" spans="2:27" ht="13">
      <c r="B66" s="55"/>
      <c r="C66" s="55"/>
      <c r="D66" s="55"/>
      <c r="E66" s="55"/>
      <c r="F66" s="55"/>
      <c r="O66" s="9"/>
      <c r="P66" s="9"/>
      <c r="Q66" s="34"/>
      <c r="R66" s="34"/>
      <c r="S66" s="9"/>
      <c r="T66" s="9"/>
      <c r="U66" s="9"/>
      <c r="V66" s="9"/>
      <c r="W66" s="9"/>
      <c r="X66" s="9"/>
      <c r="Y66" s="9"/>
      <c r="Z66" s="9"/>
      <c r="AA66" s="9"/>
    </row>
    <row r="67" spans="2:27" ht="13">
      <c r="B67" s="55"/>
      <c r="C67" s="55"/>
      <c r="D67" s="55"/>
      <c r="E67" s="67"/>
      <c r="F67" s="55"/>
      <c r="O67" s="9"/>
      <c r="P67" s="9"/>
      <c r="Q67" s="9"/>
      <c r="R67" s="34"/>
      <c r="S67" s="9"/>
      <c r="T67" s="9"/>
      <c r="U67" s="9"/>
      <c r="V67" s="9"/>
      <c r="W67" s="9"/>
      <c r="X67" s="9"/>
      <c r="Y67" s="9"/>
      <c r="Z67" s="9"/>
      <c r="AA67" s="9"/>
    </row>
    <row r="68" spans="2:27" ht="13">
      <c r="B68" s="55"/>
      <c r="C68" s="55"/>
      <c r="D68" s="55"/>
      <c r="E68" s="55"/>
      <c r="F68" s="55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</row>
    <row r="69" spans="2:27" ht="13">
      <c r="B69" s="55"/>
      <c r="C69" s="55"/>
      <c r="D69" s="55"/>
      <c r="E69" s="67"/>
      <c r="F69" s="55"/>
    </row>
    <row r="70" spans="2:27" ht="13">
      <c r="B70" s="55"/>
      <c r="C70" s="55"/>
      <c r="D70" s="55"/>
      <c r="F70" s="55"/>
    </row>
    <row r="71" spans="2:27" ht="13">
      <c r="B71" s="55"/>
      <c r="C71" s="55"/>
      <c r="D71" s="55"/>
      <c r="H71" s="58"/>
    </row>
    <row r="72" spans="2:27">
      <c r="B72" s="58"/>
      <c r="D72" s="58"/>
      <c r="H72" s="58"/>
    </row>
    <row r="73" spans="2:27">
      <c r="B73" s="58"/>
      <c r="C73" s="58"/>
      <c r="D73" s="58"/>
      <c r="H73" s="58"/>
    </row>
    <row r="74" spans="2:27">
      <c r="B74" s="58"/>
      <c r="D74" s="58"/>
      <c r="H74" s="58"/>
    </row>
    <row r="75" spans="2:27">
      <c r="B75" s="58"/>
      <c r="D75" s="58"/>
      <c r="H75" s="58"/>
    </row>
    <row r="76" spans="2:27">
      <c r="B76" s="58"/>
      <c r="D76" s="58"/>
      <c r="H76" s="58"/>
    </row>
    <row r="77" spans="2:27">
      <c r="B77" s="58"/>
      <c r="D77" s="58"/>
      <c r="H77" s="58"/>
    </row>
    <row r="78" spans="2:27">
      <c r="B78" s="58"/>
      <c r="D78" s="58"/>
      <c r="H78" s="58"/>
    </row>
    <row r="79" spans="2:27">
      <c r="B79" s="58"/>
      <c r="D79" s="58"/>
    </row>
    <row r="80" spans="2:27">
      <c r="B80" s="58"/>
      <c r="D80" s="58"/>
      <c r="H80" s="58"/>
    </row>
    <row r="81" spans="2:4">
      <c r="B81" s="58"/>
      <c r="D81" s="58"/>
    </row>
    <row r="83" spans="2:4">
      <c r="B83" s="58"/>
      <c r="D83" s="58"/>
    </row>
    <row r="84" spans="2:4">
      <c r="B84" s="58"/>
      <c r="D84" s="58"/>
    </row>
    <row r="85" spans="2:4">
      <c r="B85" s="58"/>
      <c r="D85" s="58"/>
    </row>
    <row r="86" spans="2:4">
      <c r="B86" s="58"/>
      <c r="D86" s="58"/>
    </row>
    <row r="87" spans="2:4">
      <c r="B87" s="58"/>
      <c r="D87" s="58"/>
    </row>
    <row r="88" spans="2:4">
      <c r="B88" s="58"/>
      <c r="D88" s="58"/>
    </row>
    <row r="89" spans="2:4">
      <c r="B89" s="58"/>
      <c r="D89" s="58"/>
    </row>
    <row r="90" spans="2:4">
      <c r="B90" s="58"/>
      <c r="D90" s="58"/>
    </row>
    <row r="91" spans="2:4">
      <c r="B91" s="58"/>
      <c r="D91" s="58"/>
    </row>
    <row r="92" spans="2:4">
      <c r="B92" s="58"/>
      <c r="D92" s="58"/>
    </row>
    <row r="93" spans="2:4">
      <c r="B93" s="58"/>
      <c r="D93" s="58"/>
    </row>
    <row r="94" spans="2:4">
      <c r="B94" s="58"/>
      <c r="D94" s="58"/>
    </row>
  </sheetData>
  <mergeCells count="4">
    <mergeCell ref="A1:F1"/>
    <mergeCell ref="A2:F2"/>
    <mergeCell ref="G1:AH1"/>
    <mergeCell ref="B62:E62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C0C61-2DF2-4F83-B36B-2801D62D4738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9026D-15AA-4870-BC08-D5A1369BCC1B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2025-11-12T19:54:58Z</dcterms:modified>
</cp:coreProperties>
</file>