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1ED4EB8A-D755-4DE7-AD99-6DEA63C9AE21}" xr6:coauthVersionLast="47" xr6:coauthVersionMax="47" xr10:uidLastSave="{00000000-0000-0000-0000-000000000000}"/>
  <bookViews>
    <workbookView xWindow="-110" yWindow="-110" windowWidth="19420" windowHeight="10420" xr2:uid="{1D18A77B-709C-4AA9-BC4F-33A873AD117B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P4" i="1"/>
  <c r="P2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X4" i="1"/>
  <c r="Z4" i="1"/>
  <c r="Y4" i="1"/>
  <c r="AH4" i="1"/>
  <c r="AH24" i="1"/>
  <c r="G5" i="1"/>
  <c r="I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L5" i="1"/>
  <c r="L24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R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U24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F24" i="1"/>
  <c r="J24" i="1"/>
  <c r="K24" i="1"/>
  <c r="M24" i="1"/>
  <c r="N24" i="1"/>
  <c r="O24" i="1"/>
  <c r="S24" i="1"/>
  <c r="T24" i="1"/>
  <c r="V24" i="1"/>
  <c r="AA24" i="1"/>
  <c r="AB24" i="1"/>
  <c r="AC24" i="1"/>
  <c r="AD24" i="1"/>
  <c r="AE24" i="1"/>
  <c r="AF24" i="1"/>
  <c r="AG24" i="1"/>
  <c r="G6" i="1"/>
  <c r="I6" i="1"/>
  <c r="H5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I4" i="1"/>
  <c r="R5" i="1"/>
  <c r="R6" i="1"/>
  <c r="H6" i="1"/>
  <c r="G7" i="1"/>
  <c r="G8" i="1"/>
  <c r="H7" i="1"/>
  <c r="I7" i="1"/>
  <c r="G9" i="1"/>
  <c r="H8" i="1"/>
  <c r="I8" i="1"/>
  <c r="G10" i="1"/>
  <c r="H9" i="1"/>
  <c r="I9" i="1"/>
  <c r="G11" i="1"/>
  <c r="H10" i="1"/>
  <c r="I10" i="1"/>
  <c r="G12" i="1"/>
  <c r="H11" i="1"/>
  <c r="I11" i="1"/>
  <c r="H12" i="1"/>
  <c r="I12" i="1"/>
  <c r="G13" i="1"/>
  <c r="H13" i="1"/>
  <c r="I13" i="1"/>
  <c r="G14" i="1"/>
  <c r="I14" i="1"/>
  <c r="G15" i="1"/>
  <c r="H14" i="1"/>
  <c r="G16" i="1"/>
  <c r="H15" i="1"/>
  <c r="I15" i="1"/>
  <c r="G17" i="1"/>
  <c r="H16" i="1"/>
  <c r="I16" i="1"/>
  <c r="G18" i="1"/>
  <c r="H17" i="1"/>
  <c r="I17" i="1"/>
  <c r="G19" i="1"/>
  <c r="H18" i="1"/>
  <c r="I18" i="1"/>
  <c r="G20" i="1"/>
  <c r="H19" i="1"/>
  <c r="I19" i="1"/>
  <c r="H20" i="1"/>
  <c r="I20" i="1"/>
  <c r="G21" i="1"/>
  <c r="H21" i="1"/>
  <c r="I21" i="1"/>
  <c r="G22" i="1"/>
  <c r="I22" i="1"/>
  <c r="G23" i="1"/>
  <c r="H22" i="1"/>
  <c r="G24" i="1"/>
  <c r="H23" i="1"/>
  <c r="H24" i="1"/>
  <c r="I23" i="1"/>
  <c r="I24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Q24" i="1"/>
  <c r="Z24" i="1"/>
  <c r="X24" i="1"/>
</calcChain>
</file>

<file path=xl/sharedStrings.xml><?xml version="1.0" encoding="utf-8"?>
<sst xmlns="http://schemas.openxmlformats.org/spreadsheetml/2006/main" count="98" uniqueCount="80">
  <si>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</si>
  <si>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</si>
  <si>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</si>
  <si>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</si>
  <si>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</si>
  <si>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</si>
  <si>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</si>
  <si>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</si>
  <si>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</si>
  <si>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</si>
  <si>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</si>
  <si>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</si>
  <si>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</si>
  <si>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</si>
  <si>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</si>
  <si>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</si>
  <si>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</si>
  <si>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</si>
  <si>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</si>
  <si>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</si>
  <si>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</si>
  <si>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</si>
  <si>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</si>
  <si>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</si>
  <si>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</si>
  <si>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</si>
  <si>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</si>
  <si>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</si>
  <si>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</si>
  <si>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</si>
  <si>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</si>
  <si>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</si>
  <si>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</si>
  <si>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</si>
  <si>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</si>
  <si>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</si>
  <si>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</si>
  <si>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</si>
  <si>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</si>
  <si>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</si>
  <si>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</si>
  <si>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</si>
  <si>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</si>
  <si>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</si>
  <si>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</si>
  <si>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</si>
  <si>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</si>
  <si>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</si>
  <si>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</si>
  <si>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</si>
  <si>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</si>
  <si>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</si>
  <si>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</si>
  <si>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</si>
  <si>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</si>
  <si>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Seoul</t>
  </si>
  <si>
    <t>Fukuoka</t>
  </si>
  <si>
    <t>Imabari</t>
  </si>
  <si>
    <t>Fukuyama</t>
  </si>
  <si>
    <t>Busan</t>
  </si>
  <si>
    <t>Kyoto</t>
  </si>
  <si>
    <t>Osaka</t>
  </si>
  <si>
    <t>Oguchi Beach</t>
  </si>
  <si>
    <t>Katata</t>
  </si>
  <si>
    <t>Otsu</t>
  </si>
  <si>
    <t>Incheon</t>
  </si>
  <si>
    <t>Yeongjongdo-Wolmido-Fähre</t>
  </si>
  <si>
    <t>Yeoju</t>
  </si>
  <si>
    <t>Chungju</t>
  </si>
  <si>
    <t>Mungyeong</t>
  </si>
  <si>
    <t>Gumi</t>
  </si>
  <si>
    <t>Daegu</t>
  </si>
  <si>
    <t>Hyeonpung</t>
  </si>
  <si>
    <t>Susan</t>
  </si>
  <si>
    <t>Namji</t>
  </si>
  <si>
    <t>Ihwa-ryong (540 m)</t>
  </si>
  <si>
    <t>Shimyo-in Temple (509 m)</t>
  </si>
  <si>
    <r>
      <t xml:space="preserve">Onomichi -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Mukaishimacho</t>
    </r>
  </si>
  <si>
    <t>Incheon - Seoul - Busan - Fukuoka - Kyoto - Fukuoka (15.9.-4.10.2025)</t>
  </si>
  <si>
    <r>
      <t xml:space="preserve">Statistik </t>
    </r>
    <r>
      <rPr>
        <b/>
        <sz val="20"/>
        <rFont val="Arial"/>
        <family val="2"/>
      </rPr>
      <t>Incheon - Seoul - Busan - Fukuoka - Kyoto - Fukuoka (15.9.-4.10.2025)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</si>
</sst>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20" fontId="0" fillId="0" borderId="0" xfId="0" applyNumberFormat="1"/>
    <xf numFmtId="180" fontId="0" fillId="0" borderId="0" xfId="0" applyNumberFormat="1"/>
    <xf numFmtId="0" fontId="0" fillId="0" borderId="1" xfId="0" applyBorder="1"/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EF4C-C370-43A5-B8C7-F3D844D78E17}">
  <sheetPr codeName="Tabelle1"/>
  <dimension ref="A1:AH30"/>
  <sheetViews>
    <sheetView tabSelected="1" zoomScaleNormal="100" workbookViewId="0">
      <selection sqref="A1:F1"/>
    </sheetView>
  </sheetViews>
  <sheetFormatPr baseColWidth="10" defaultRowHeight="12.5"/>
  <cols>
    <col min="1" max="1" width="11.1796875" customWidth="1"/>
    <col min="2" max="2" width="15.1796875" customWidth="1"/>
    <col min="3" max="3" width="23.81640625" customWidth="1"/>
    <col min="4" max="4" width="60.1796875" customWidth="1"/>
    <col min="5" max="5" width="24.453125" customWidth="1"/>
    <col min="6" max="7" width="6.453125" customWidth="1"/>
    <col min="8" max="8" width="4.1796875" customWidth="1"/>
    <col min="9" max="9" width="3.81640625" customWidth="1"/>
    <col min="10" max="10" width="6.179687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81640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1796875" customWidth="1"/>
    <col min="24" max="24" width="5.81640625" customWidth="1"/>
    <col min="25" max="25" width="6.1796875" customWidth="1"/>
    <col min="26" max="26" width="5.81640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3" width="3.1796875" customWidth="1"/>
    <col min="34" max="34" width="3.54296875" customWidth="1"/>
  </cols>
  <sheetData>
    <row r="1" spans="1:34" ht="25">
      <c r="A1" s="48" t="s">
        <v>78</v>
      </c>
      <c r="B1" s="49"/>
      <c r="C1" s="49"/>
      <c r="D1" s="49"/>
      <c r="E1" s="49"/>
      <c r="F1" s="50"/>
      <c r="G1" s="52" t="s">
        <v>79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45</v>
      </c>
      <c r="M3" s="25" t="s">
        <v>25</v>
      </c>
      <c r="N3" s="25" t="s">
        <v>14</v>
      </c>
      <c r="O3" s="26" t="s">
        <v>33</v>
      </c>
      <c r="P3" s="25" t="s">
        <v>44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1" t="s">
        <v>46</v>
      </c>
      <c r="B4" s="43">
        <v>45915</v>
      </c>
      <c r="C4" s="5" t="s">
        <v>65</v>
      </c>
      <c r="D4" s="44" t="s">
        <v>66</v>
      </c>
      <c r="E4" s="4" t="s">
        <v>55</v>
      </c>
      <c r="F4" s="47">
        <v>82</v>
      </c>
      <c r="G4" s="13">
        <f>SUM(F4)</f>
        <v>82</v>
      </c>
      <c r="H4" s="14">
        <f>ROUND(PRODUCT(G4/1),0)</f>
        <v>82</v>
      </c>
      <c r="I4" s="14">
        <f>ROUND(PRODUCT(G4/COUNT(F4:F4)),0)</f>
        <v>82</v>
      </c>
      <c r="J4" s="45">
        <v>0.21111111111111111</v>
      </c>
      <c r="K4" s="20">
        <f>SUM(J4)</f>
        <v>0.21111111111111111</v>
      </c>
      <c r="L4" s="38">
        <f t="shared" ref="L4:L23" si="0">IF(F4=0,0,ROUND(PRODUCT(F4/SUM(HOUR(J4),PRODUCT(MINUTE(J4)/60))),1))</f>
        <v>16.2</v>
      </c>
      <c r="M4" s="46">
        <v>47.8</v>
      </c>
      <c r="N4" s="45">
        <v>0.30555555555555558</v>
      </c>
      <c r="O4" s="20">
        <f>SUM(N4)</f>
        <v>0.30555555555555558</v>
      </c>
      <c r="P4" s="38">
        <f t="shared" ref="P4:P23" si="1">IF(F4=0,0,ROUND(PRODUCT(F4/SUM(HOUR(N4),PRODUCT(MINUTE(N4)/60))),1))</f>
        <v>11.2</v>
      </c>
      <c r="Q4" s="20">
        <f t="shared" ref="Q4:Q23" si="2">SUM(N4,-J4)</f>
        <v>9.444444444444447E-2</v>
      </c>
      <c r="R4" s="20">
        <f>SUM(Q4)</f>
        <v>9.444444444444447E-2</v>
      </c>
      <c r="S4">
        <v>10</v>
      </c>
      <c r="T4">
        <v>20</v>
      </c>
      <c r="U4" s="15">
        <f>SUM(-S4,T4)</f>
        <v>10</v>
      </c>
      <c r="V4">
        <v>265</v>
      </c>
      <c r="W4" s="15">
        <f>SUM(V4)</f>
        <v>265</v>
      </c>
      <c r="X4" s="14">
        <f t="shared" ref="X4:X23" si="3">SUM(S4,-T4,V4)</f>
        <v>255</v>
      </c>
      <c r="Y4" s="15">
        <f>SUM(X4)</f>
        <v>255</v>
      </c>
      <c r="Z4" s="15">
        <f t="shared" ref="Z4:Z23" si="4">SUM(V4,-X4)</f>
        <v>10</v>
      </c>
      <c r="AA4">
        <v>40</v>
      </c>
      <c r="AB4" s="14"/>
      <c r="AC4" s="14"/>
      <c r="AD4" s="14"/>
      <c r="AE4" s="14"/>
      <c r="AF4" s="14">
        <v>20</v>
      </c>
      <c r="AG4" s="14">
        <v>40</v>
      </c>
      <c r="AH4" s="16">
        <f>SUM(AG4,-AF4)</f>
        <v>20</v>
      </c>
    </row>
    <row r="5" spans="1:34" ht="13">
      <c r="A5" s="41" t="s">
        <v>47</v>
      </c>
      <c r="B5" s="43">
        <v>45916</v>
      </c>
      <c r="C5" s="5"/>
      <c r="D5" s="6" t="s">
        <v>55</v>
      </c>
      <c r="E5" s="4"/>
      <c r="F5" s="47"/>
      <c r="G5" s="17">
        <f>SUM(G4,F5)</f>
        <v>82</v>
      </c>
      <c r="H5" s="11">
        <f>ROUND(PRODUCT(G5/2),0)</f>
        <v>41</v>
      </c>
      <c r="I5" s="11">
        <f>ROUND(PRODUCT(G5/COUNT(F4:F5)),0)</f>
        <v>82</v>
      </c>
      <c r="K5" s="21">
        <f t="shared" ref="K5:K23" si="5">SUM(J5,K4)</f>
        <v>0.21111111111111111</v>
      </c>
      <c r="L5" s="38">
        <f t="shared" si="0"/>
        <v>0</v>
      </c>
      <c r="M5" s="46"/>
      <c r="O5" s="21">
        <f t="shared" ref="O5:O23" si="6">SUM(N5,O4)</f>
        <v>0.30555555555555558</v>
      </c>
      <c r="P5" s="38">
        <f t="shared" si="1"/>
        <v>0</v>
      </c>
      <c r="Q5" s="21">
        <f t="shared" si="2"/>
        <v>0</v>
      </c>
      <c r="R5" s="21">
        <f>SUM(Q5,R4)</f>
        <v>9.444444444444447E-2</v>
      </c>
      <c r="U5" s="18">
        <f>SUM(-S5,T5)</f>
        <v>0</v>
      </c>
      <c r="W5" s="18">
        <f t="shared" ref="W5:W23" si="7">SUM(W4,V5)</f>
        <v>265</v>
      </c>
      <c r="X5" s="11">
        <f t="shared" si="3"/>
        <v>0</v>
      </c>
      <c r="Y5" s="18">
        <f>SUM(Y4,X5)</f>
        <v>255</v>
      </c>
      <c r="Z5" s="18">
        <f t="shared" si="4"/>
        <v>0</v>
      </c>
      <c r="AB5" s="11"/>
      <c r="AC5" s="30"/>
      <c r="AD5" s="29"/>
      <c r="AE5" s="30"/>
      <c r="AF5" s="30">
        <v>21</v>
      </c>
      <c r="AG5" s="30">
        <v>35</v>
      </c>
      <c r="AH5" s="19">
        <f>SUM(AG5,-AF5)</f>
        <v>14</v>
      </c>
    </row>
    <row r="6" spans="1:34" ht="13">
      <c r="A6" s="41" t="s">
        <v>48</v>
      </c>
      <c r="B6" s="43">
        <v>45917</v>
      </c>
      <c r="C6" s="5"/>
      <c r="D6" s="6" t="s">
        <v>55</v>
      </c>
      <c r="E6" s="4"/>
      <c r="F6" s="47"/>
      <c r="G6" s="17">
        <f t="shared" ref="G6:G23" si="8">SUM(G5,F6)</f>
        <v>82</v>
      </c>
      <c r="H6" s="11">
        <f>ROUND(PRODUCT(G6/3),0)</f>
        <v>27</v>
      </c>
      <c r="I6" s="11">
        <f>ROUND(PRODUCT(G6/COUNT(F4:F6)),0)</f>
        <v>82</v>
      </c>
      <c r="K6" s="21">
        <f t="shared" si="5"/>
        <v>0.21111111111111111</v>
      </c>
      <c r="L6" s="38">
        <f t="shared" si="0"/>
        <v>0</v>
      </c>
      <c r="M6" s="46"/>
      <c r="O6" s="21">
        <f t="shared" si="6"/>
        <v>0.30555555555555558</v>
      </c>
      <c r="P6" s="38">
        <f t="shared" si="1"/>
        <v>0</v>
      </c>
      <c r="Q6" s="21">
        <f t="shared" si="2"/>
        <v>0</v>
      </c>
      <c r="R6" s="21">
        <f t="shared" ref="R6:R23" si="9">SUM(Q6,R5)</f>
        <v>9.444444444444447E-2</v>
      </c>
      <c r="U6" s="18">
        <f t="shared" ref="U6:U23" si="10">SUM(-S6,T6)</f>
        <v>0</v>
      </c>
      <c r="W6" s="18">
        <f t="shared" si="7"/>
        <v>265</v>
      </c>
      <c r="X6" s="11">
        <f t="shared" si="3"/>
        <v>0</v>
      </c>
      <c r="Y6" s="18">
        <f t="shared" ref="Y6:Y23" si="11">SUM(Y5,X6)</f>
        <v>255</v>
      </c>
      <c r="Z6" s="18">
        <f t="shared" si="4"/>
        <v>0</v>
      </c>
      <c r="AB6" s="11"/>
      <c r="AC6" s="30"/>
      <c r="AD6" s="29"/>
      <c r="AE6" s="30"/>
      <c r="AF6" s="30">
        <v>16</v>
      </c>
      <c r="AG6" s="30">
        <v>39</v>
      </c>
      <c r="AH6" s="19">
        <f t="shared" ref="AH6:AH23" si="12">SUM(AG6,-AF6)</f>
        <v>23</v>
      </c>
    </row>
    <row r="7" spans="1:34" ht="13">
      <c r="A7" s="41" t="s">
        <v>49</v>
      </c>
      <c r="B7" s="43">
        <v>45918</v>
      </c>
      <c r="C7" s="5" t="s">
        <v>55</v>
      </c>
      <c r="D7" s="6"/>
      <c r="E7" s="4" t="s">
        <v>67</v>
      </c>
      <c r="F7" s="47">
        <v>100</v>
      </c>
      <c r="G7" s="17">
        <f t="shared" si="8"/>
        <v>182</v>
      </c>
      <c r="H7" s="11">
        <f>ROUND(PRODUCT(G7/4),0)</f>
        <v>46</v>
      </c>
      <c r="I7" s="11">
        <f>ROUND(PRODUCT(G7/COUNT(F4:F7)),0)</f>
        <v>91</v>
      </c>
      <c r="J7" s="45">
        <v>0.25</v>
      </c>
      <c r="K7" s="21">
        <f t="shared" si="5"/>
        <v>0.46111111111111114</v>
      </c>
      <c r="L7" s="38">
        <f t="shared" si="0"/>
        <v>16.7</v>
      </c>
      <c r="M7" s="46">
        <v>44.8</v>
      </c>
      <c r="N7" s="45">
        <v>0.34097222222222223</v>
      </c>
      <c r="O7" s="21">
        <f t="shared" si="6"/>
        <v>0.64652777777777781</v>
      </c>
      <c r="P7" s="38">
        <f t="shared" si="1"/>
        <v>12.2</v>
      </c>
      <c r="Q7" s="21">
        <f t="shared" si="2"/>
        <v>9.0972222222222232E-2</v>
      </c>
      <c r="R7" s="21">
        <f t="shared" si="9"/>
        <v>0.1854166666666667</v>
      </c>
      <c r="S7">
        <v>60</v>
      </c>
      <c r="T7">
        <v>50</v>
      </c>
      <c r="U7" s="18">
        <f t="shared" si="10"/>
        <v>-10</v>
      </c>
      <c r="V7">
        <v>532</v>
      </c>
      <c r="W7" s="18">
        <f t="shared" si="7"/>
        <v>797</v>
      </c>
      <c r="X7" s="11">
        <f t="shared" si="3"/>
        <v>542</v>
      </c>
      <c r="Y7" s="18">
        <f t="shared" si="11"/>
        <v>797</v>
      </c>
      <c r="Z7" s="18">
        <f t="shared" si="4"/>
        <v>-10</v>
      </c>
      <c r="AA7">
        <v>110</v>
      </c>
      <c r="AB7" s="29"/>
      <c r="AC7" s="30"/>
      <c r="AD7" s="29"/>
      <c r="AE7" s="30"/>
      <c r="AF7" s="30">
        <v>26</v>
      </c>
      <c r="AG7" s="30">
        <v>39</v>
      </c>
      <c r="AH7" s="19">
        <f t="shared" si="12"/>
        <v>13</v>
      </c>
    </row>
    <row r="8" spans="1:34" ht="13">
      <c r="A8" s="41" t="s">
        <v>50</v>
      </c>
      <c r="B8" s="43">
        <v>45919</v>
      </c>
      <c r="C8" s="5" t="s">
        <v>67</v>
      </c>
      <c r="D8" s="6"/>
      <c r="E8" s="4" t="s">
        <v>68</v>
      </c>
      <c r="F8" s="47">
        <v>69</v>
      </c>
      <c r="G8" s="17">
        <f t="shared" si="8"/>
        <v>251</v>
      </c>
      <c r="H8" s="11">
        <f>ROUND(PRODUCT(G8/5),0)</f>
        <v>50</v>
      </c>
      <c r="I8" s="11">
        <f>ROUND(PRODUCT(G8/COUNT(F4:F8)),0)</f>
        <v>84</v>
      </c>
      <c r="J8" s="45">
        <v>0.17708333333333334</v>
      </c>
      <c r="K8" s="21">
        <f t="shared" si="5"/>
        <v>0.63819444444444451</v>
      </c>
      <c r="L8" s="38">
        <f t="shared" si="0"/>
        <v>16.2</v>
      </c>
      <c r="M8" s="46">
        <v>47.4</v>
      </c>
      <c r="N8" s="45">
        <v>0.27083333333333331</v>
      </c>
      <c r="O8" s="21">
        <f t="shared" si="6"/>
        <v>0.91736111111111107</v>
      </c>
      <c r="P8" s="38">
        <f t="shared" si="1"/>
        <v>10.6</v>
      </c>
      <c r="Q8" s="21">
        <f t="shared" si="2"/>
        <v>9.3749999999999972E-2</v>
      </c>
      <c r="R8" s="21">
        <f t="shared" si="9"/>
        <v>0.27916666666666667</v>
      </c>
      <c r="S8">
        <v>50</v>
      </c>
      <c r="T8">
        <v>100</v>
      </c>
      <c r="U8" s="18">
        <f t="shared" si="10"/>
        <v>50</v>
      </c>
      <c r="V8">
        <v>398</v>
      </c>
      <c r="W8" s="18">
        <f t="shared" si="7"/>
        <v>1195</v>
      </c>
      <c r="X8" s="11">
        <f t="shared" si="3"/>
        <v>348</v>
      </c>
      <c r="Y8" s="18">
        <f t="shared" si="11"/>
        <v>1145</v>
      </c>
      <c r="Z8" s="18">
        <f t="shared" si="4"/>
        <v>50</v>
      </c>
      <c r="AA8">
        <v>115</v>
      </c>
      <c r="AB8" s="29"/>
      <c r="AC8" s="30"/>
      <c r="AD8" s="29"/>
      <c r="AE8" s="30"/>
      <c r="AF8" s="30">
        <v>25</v>
      </c>
      <c r="AG8" s="30">
        <v>32</v>
      </c>
      <c r="AH8" s="19">
        <f t="shared" si="12"/>
        <v>7</v>
      </c>
    </row>
    <row r="9" spans="1:34" ht="13">
      <c r="A9" s="41" t="s">
        <v>51</v>
      </c>
      <c r="B9" s="43">
        <v>45920</v>
      </c>
      <c r="C9" s="5" t="s">
        <v>68</v>
      </c>
      <c r="D9" s="6" t="s">
        <v>75</v>
      </c>
      <c r="E9" s="4" t="s">
        <v>69</v>
      </c>
      <c r="F9" s="47">
        <v>80</v>
      </c>
      <c r="G9" s="17">
        <f t="shared" si="8"/>
        <v>331</v>
      </c>
      <c r="H9" s="11">
        <f>ROUND(PRODUCT(G9/6),0)</f>
        <v>55</v>
      </c>
      <c r="I9" s="11">
        <f>ROUND(PRODUCT(G9/COUNT(F4:F9)),0)</f>
        <v>83</v>
      </c>
      <c r="J9" s="45">
        <v>0.21597222222222223</v>
      </c>
      <c r="K9" s="21">
        <f t="shared" si="5"/>
        <v>0.85416666666666674</v>
      </c>
      <c r="L9" s="38">
        <f t="shared" si="0"/>
        <v>15.4</v>
      </c>
      <c r="M9" s="46">
        <v>52.7</v>
      </c>
      <c r="N9" s="45">
        <v>0.3125</v>
      </c>
      <c r="O9" s="21">
        <f t="shared" si="6"/>
        <v>1.2298611111111111</v>
      </c>
      <c r="P9" s="38">
        <f t="shared" si="1"/>
        <v>10.7</v>
      </c>
      <c r="Q9" s="21">
        <f t="shared" si="2"/>
        <v>9.6527777777777768E-2</v>
      </c>
      <c r="R9" s="21">
        <f t="shared" si="9"/>
        <v>0.37569444444444444</v>
      </c>
      <c r="S9">
        <v>100</v>
      </c>
      <c r="T9">
        <v>100</v>
      </c>
      <c r="U9" s="18">
        <f t="shared" si="10"/>
        <v>0</v>
      </c>
      <c r="V9">
        <v>751</v>
      </c>
      <c r="W9" s="18">
        <f t="shared" si="7"/>
        <v>1946</v>
      </c>
      <c r="X9" s="11">
        <f t="shared" si="3"/>
        <v>751</v>
      </c>
      <c r="Y9" s="18">
        <f t="shared" si="11"/>
        <v>1896</v>
      </c>
      <c r="Z9" s="18">
        <f t="shared" si="4"/>
        <v>0</v>
      </c>
      <c r="AA9">
        <v>540</v>
      </c>
      <c r="AB9" s="29"/>
      <c r="AC9" s="30"/>
      <c r="AD9" s="29"/>
      <c r="AE9" s="30"/>
      <c r="AF9" s="30">
        <v>28</v>
      </c>
      <c r="AG9" s="30">
        <v>41</v>
      </c>
      <c r="AH9" s="19">
        <f t="shared" si="12"/>
        <v>13</v>
      </c>
    </row>
    <row r="10" spans="1:34" ht="13">
      <c r="A10" s="41" t="s">
        <v>52</v>
      </c>
      <c r="B10" s="43">
        <v>45921</v>
      </c>
      <c r="C10" s="5" t="s">
        <v>69</v>
      </c>
      <c r="D10" s="6"/>
      <c r="E10" s="4" t="s">
        <v>70</v>
      </c>
      <c r="F10" s="47">
        <v>85</v>
      </c>
      <c r="G10" s="17">
        <f t="shared" si="8"/>
        <v>416</v>
      </c>
      <c r="H10" s="11">
        <f>ROUND(PRODUCT(G10/7),0)</f>
        <v>59</v>
      </c>
      <c r="I10" s="11">
        <f>ROUND(PRODUCT(G10/COUNT(F4:F10)),0)</f>
        <v>83</v>
      </c>
      <c r="J10" s="45">
        <v>0.21249999999999999</v>
      </c>
      <c r="K10" s="21">
        <f t="shared" si="5"/>
        <v>1.0666666666666667</v>
      </c>
      <c r="L10" s="38">
        <f t="shared" si="0"/>
        <v>16.7</v>
      </c>
      <c r="M10" s="46">
        <v>48.6</v>
      </c>
      <c r="N10" s="45">
        <v>0.30555555555555558</v>
      </c>
      <c r="O10" s="21">
        <f t="shared" si="6"/>
        <v>1.5354166666666667</v>
      </c>
      <c r="P10" s="38">
        <f t="shared" si="1"/>
        <v>11.6</v>
      </c>
      <c r="Q10" s="21">
        <f t="shared" si="2"/>
        <v>9.3055555555555586E-2</v>
      </c>
      <c r="R10" s="21">
        <f t="shared" si="9"/>
        <v>0.46875</v>
      </c>
      <c r="S10">
        <v>100</v>
      </c>
      <c r="T10">
        <v>50</v>
      </c>
      <c r="U10" s="18">
        <f t="shared" si="10"/>
        <v>-50</v>
      </c>
      <c r="V10">
        <v>365</v>
      </c>
      <c r="W10" s="18">
        <f t="shared" si="7"/>
        <v>2311</v>
      </c>
      <c r="X10" s="11">
        <f t="shared" si="3"/>
        <v>415</v>
      </c>
      <c r="Y10" s="18">
        <f t="shared" si="11"/>
        <v>2311</v>
      </c>
      <c r="Z10" s="18">
        <f t="shared" si="4"/>
        <v>-50</v>
      </c>
      <c r="AA10">
        <v>120</v>
      </c>
      <c r="AB10" s="29"/>
      <c r="AC10" s="30"/>
      <c r="AD10" s="29"/>
      <c r="AE10" s="30"/>
      <c r="AF10" s="30">
        <v>21</v>
      </c>
      <c r="AG10" s="30">
        <v>42</v>
      </c>
      <c r="AH10" s="19">
        <f t="shared" si="12"/>
        <v>21</v>
      </c>
    </row>
    <row r="11" spans="1:34" ht="13">
      <c r="A11" s="41" t="s">
        <v>53</v>
      </c>
      <c r="B11" s="43">
        <v>45922</v>
      </c>
      <c r="C11" s="5" t="s">
        <v>70</v>
      </c>
      <c r="D11" s="6" t="s">
        <v>71</v>
      </c>
      <c r="E11" s="4" t="s">
        <v>72</v>
      </c>
      <c r="F11" s="47">
        <v>67</v>
      </c>
      <c r="G11" s="17">
        <f t="shared" si="8"/>
        <v>483</v>
      </c>
      <c r="H11" s="11">
        <f>ROUND(PRODUCT(G11/8),0)</f>
        <v>60</v>
      </c>
      <c r="I11" s="11">
        <f>ROUND(PRODUCT(G11/COUNT(F4:F11)),0)</f>
        <v>81</v>
      </c>
      <c r="J11" s="45">
        <v>0.16597222222222222</v>
      </c>
      <c r="K11" s="21">
        <f t="shared" si="5"/>
        <v>1.2326388888888888</v>
      </c>
      <c r="L11" s="38">
        <f t="shared" si="0"/>
        <v>16.8</v>
      </c>
      <c r="M11" s="46">
        <v>41.8</v>
      </c>
      <c r="N11" s="45">
        <v>0.2326388888888889</v>
      </c>
      <c r="O11" s="21">
        <f t="shared" si="6"/>
        <v>1.7680555555555555</v>
      </c>
      <c r="P11" s="38">
        <f t="shared" si="1"/>
        <v>12</v>
      </c>
      <c r="Q11" s="21">
        <f t="shared" si="2"/>
        <v>6.666666666666668E-2</v>
      </c>
      <c r="R11" s="21">
        <f t="shared" si="9"/>
        <v>0.53541666666666665</v>
      </c>
      <c r="S11">
        <v>50</v>
      </c>
      <c r="T11">
        <v>30</v>
      </c>
      <c r="U11" s="18">
        <f t="shared" si="10"/>
        <v>-20</v>
      </c>
      <c r="V11">
        <v>243</v>
      </c>
      <c r="W11" s="18">
        <f t="shared" si="7"/>
        <v>2554</v>
      </c>
      <c r="X11" s="11">
        <f t="shared" si="3"/>
        <v>263</v>
      </c>
      <c r="Y11" s="18">
        <f t="shared" si="11"/>
        <v>2574</v>
      </c>
      <c r="Z11" s="18">
        <f t="shared" si="4"/>
        <v>-20</v>
      </c>
      <c r="AA11">
        <v>50</v>
      </c>
      <c r="AB11" s="29"/>
      <c r="AC11" s="30"/>
      <c r="AD11" s="29"/>
      <c r="AE11" s="30"/>
      <c r="AF11" s="30">
        <v>30</v>
      </c>
      <c r="AG11" s="30">
        <v>46</v>
      </c>
      <c r="AH11" s="19">
        <f t="shared" si="12"/>
        <v>16</v>
      </c>
    </row>
    <row r="12" spans="1:34" ht="13">
      <c r="A12" s="6" t="s">
        <v>54</v>
      </c>
      <c r="B12" s="43">
        <v>45923</v>
      </c>
      <c r="C12" s="5" t="s">
        <v>72</v>
      </c>
      <c r="D12" s="6" t="s">
        <v>74</v>
      </c>
      <c r="E12" s="4" t="s">
        <v>73</v>
      </c>
      <c r="F12" s="47">
        <v>101</v>
      </c>
      <c r="G12" s="17">
        <f t="shared" si="8"/>
        <v>584</v>
      </c>
      <c r="H12" s="11">
        <f>ROUND(PRODUCT(G12/9),0)</f>
        <v>65</v>
      </c>
      <c r="I12" s="11">
        <f>ROUND(PRODUCT(G12/COUNT(F4:F12)),0)</f>
        <v>83</v>
      </c>
      <c r="J12" s="45">
        <v>0.2590277777777778</v>
      </c>
      <c r="K12" s="21">
        <f t="shared" si="5"/>
        <v>1.4916666666666667</v>
      </c>
      <c r="L12" s="38">
        <f t="shared" si="0"/>
        <v>16.2</v>
      </c>
      <c r="M12" s="46">
        <v>60.3</v>
      </c>
      <c r="N12" s="45">
        <v>0.39583333333333331</v>
      </c>
      <c r="O12" s="21">
        <f t="shared" si="6"/>
        <v>2.1638888888888888</v>
      </c>
      <c r="P12" s="38">
        <f t="shared" si="1"/>
        <v>10.6</v>
      </c>
      <c r="Q12" s="21">
        <f t="shared" si="2"/>
        <v>0.13680555555555551</v>
      </c>
      <c r="R12" s="21">
        <f t="shared" si="9"/>
        <v>0.67222222222222217</v>
      </c>
      <c r="S12">
        <v>30</v>
      </c>
      <c r="T12">
        <v>30</v>
      </c>
      <c r="U12" s="18">
        <f t="shared" si="10"/>
        <v>0</v>
      </c>
      <c r="V12">
        <v>832</v>
      </c>
      <c r="W12" s="18">
        <f t="shared" si="7"/>
        <v>3386</v>
      </c>
      <c r="X12" s="11">
        <f t="shared" si="3"/>
        <v>832</v>
      </c>
      <c r="Y12" s="18">
        <f t="shared" si="11"/>
        <v>3406</v>
      </c>
      <c r="Z12" s="18">
        <f t="shared" si="4"/>
        <v>0</v>
      </c>
      <c r="AA12">
        <v>180</v>
      </c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6" t="s">
        <v>5</v>
      </c>
      <c r="B13" s="43">
        <v>45924</v>
      </c>
      <c r="C13" s="5" t="s">
        <v>73</v>
      </c>
      <c r="D13" s="6"/>
      <c r="E13" s="4" t="s">
        <v>59</v>
      </c>
      <c r="F13" s="47">
        <v>82</v>
      </c>
      <c r="G13" s="17">
        <f t="shared" si="8"/>
        <v>666</v>
      </c>
      <c r="H13" s="11">
        <f>ROUND(PRODUCT(G13/10),0)</f>
        <v>67</v>
      </c>
      <c r="I13" s="11">
        <f>ROUND(PRODUCT(G13/COUNT(F4:F13)),0)</f>
        <v>83</v>
      </c>
      <c r="J13" s="45">
        <v>0.1875</v>
      </c>
      <c r="K13" s="21">
        <f t="shared" si="5"/>
        <v>1.6791666666666667</v>
      </c>
      <c r="L13" s="38">
        <f t="shared" si="0"/>
        <v>18.2</v>
      </c>
      <c r="M13" s="46">
        <v>45</v>
      </c>
      <c r="N13" s="45">
        <v>0.25</v>
      </c>
      <c r="O13" s="21">
        <f t="shared" si="6"/>
        <v>2.4138888888888888</v>
      </c>
      <c r="P13" s="38">
        <f t="shared" si="1"/>
        <v>13.7</v>
      </c>
      <c r="Q13" s="21">
        <f t="shared" si="2"/>
        <v>6.25E-2</v>
      </c>
      <c r="R13" s="21">
        <f t="shared" si="9"/>
        <v>0.73472222222222217</v>
      </c>
      <c r="S13">
        <v>30</v>
      </c>
      <c r="T13">
        <v>20</v>
      </c>
      <c r="U13" s="18">
        <f t="shared" si="10"/>
        <v>-10</v>
      </c>
      <c r="V13">
        <v>232</v>
      </c>
      <c r="W13" s="18">
        <f t="shared" si="7"/>
        <v>3618</v>
      </c>
      <c r="X13" s="11">
        <f t="shared" si="3"/>
        <v>242</v>
      </c>
      <c r="Y13" s="18">
        <f t="shared" si="11"/>
        <v>3648</v>
      </c>
      <c r="Z13" s="18">
        <f t="shared" si="4"/>
        <v>-10</v>
      </c>
      <c r="AA13">
        <v>90</v>
      </c>
      <c r="AB13" s="29"/>
      <c r="AC13" s="30"/>
      <c r="AD13" s="29"/>
      <c r="AE13" s="30"/>
      <c r="AF13" s="30">
        <v>24</v>
      </c>
      <c r="AG13" s="30">
        <v>42</v>
      </c>
      <c r="AH13" s="19">
        <f t="shared" si="12"/>
        <v>18</v>
      </c>
    </row>
    <row r="14" spans="1:34" ht="13">
      <c r="A14" s="41" t="s">
        <v>7</v>
      </c>
      <c r="B14" s="43">
        <v>45925</v>
      </c>
      <c r="C14" s="42"/>
      <c r="D14" s="6" t="s">
        <v>59</v>
      </c>
      <c r="E14" s="4"/>
      <c r="F14" s="47"/>
      <c r="G14" s="17">
        <f t="shared" si="8"/>
        <v>666</v>
      </c>
      <c r="H14" s="11">
        <f>ROUND(PRODUCT(G14/11),0)</f>
        <v>61</v>
      </c>
      <c r="I14" s="11">
        <f>ROUND(PRODUCT(G14/COUNT(F4:F14)),0)</f>
        <v>83</v>
      </c>
      <c r="K14" s="21">
        <f t="shared" si="5"/>
        <v>1.6791666666666667</v>
      </c>
      <c r="L14" s="38">
        <f t="shared" si="0"/>
        <v>0</v>
      </c>
      <c r="M14" s="46"/>
      <c r="O14" s="21">
        <f t="shared" si="6"/>
        <v>2.4138888888888888</v>
      </c>
      <c r="P14" s="38">
        <f t="shared" si="1"/>
        <v>0</v>
      </c>
      <c r="Q14" s="21">
        <f t="shared" si="2"/>
        <v>0</v>
      </c>
      <c r="R14" s="21">
        <f t="shared" si="9"/>
        <v>0.73472222222222217</v>
      </c>
      <c r="U14" s="18">
        <f t="shared" si="10"/>
        <v>0</v>
      </c>
      <c r="W14" s="18">
        <f t="shared" si="7"/>
        <v>3618</v>
      </c>
      <c r="X14" s="11">
        <f t="shared" si="3"/>
        <v>0</v>
      </c>
      <c r="Y14" s="18">
        <f t="shared" si="11"/>
        <v>3648</v>
      </c>
      <c r="Z14" s="18">
        <f t="shared" si="4"/>
        <v>0</v>
      </c>
      <c r="AB14" s="29"/>
      <c r="AC14" s="30"/>
      <c r="AD14" s="29"/>
      <c r="AE14" s="30"/>
      <c r="AF14" s="30">
        <v>17</v>
      </c>
      <c r="AG14" s="30">
        <v>36</v>
      </c>
      <c r="AH14" s="19">
        <f t="shared" si="12"/>
        <v>19</v>
      </c>
    </row>
    <row r="15" spans="1:34" ht="13">
      <c r="A15" s="6" t="s">
        <v>35</v>
      </c>
      <c r="B15" s="43">
        <v>45926</v>
      </c>
      <c r="C15" s="5" t="s">
        <v>56</v>
      </c>
      <c r="D15" s="6" t="s">
        <v>62</v>
      </c>
      <c r="E15" s="4" t="s">
        <v>56</v>
      </c>
      <c r="F15" s="47">
        <v>65</v>
      </c>
      <c r="G15" s="17">
        <f t="shared" si="8"/>
        <v>731</v>
      </c>
      <c r="H15" s="11">
        <f>ROUND(PRODUCT(G15/12),0)</f>
        <v>61</v>
      </c>
      <c r="I15" s="11">
        <f>ROUND(PRODUCT(G15/COUNT(F4:F15)),0)</f>
        <v>81</v>
      </c>
      <c r="J15" s="45">
        <v>0.17569444444444443</v>
      </c>
      <c r="K15" s="21">
        <f t="shared" si="5"/>
        <v>1.8548611111111111</v>
      </c>
      <c r="L15" s="38">
        <f t="shared" si="0"/>
        <v>15.4</v>
      </c>
      <c r="M15" s="46">
        <v>37.5</v>
      </c>
      <c r="N15" s="45">
        <v>0.42708333333333331</v>
      </c>
      <c r="O15" s="21">
        <f t="shared" si="6"/>
        <v>2.8409722222222222</v>
      </c>
      <c r="P15" s="38">
        <f t="shared" si="1"/>
        <v>6.3</v>
      </c>
      <c r="Q15" s="21">
        <f t="shared" si="2"/>
        <v>0.25138888888888888</v>
      </c>
      <c r="R15" s="21">
        <f t="shared" si="9"/>
        <v>0.98611111111111105</v>
      </c>
      <c r="S15">
        <v>10</v>
      </c>
      <c r="T15">
        <v>10</v>
      </c>
      <c r="U15" s="18">
        <f t="shared" si="10"/>
        <v>0</v>
      </c>
      <c r="V15">
        <v>188</v>
      </c>
      <c r="W15" s="18">
        <f t="shared" si="7"/>
        <v>3806</v>
      </c>
      <c r="X15" s="11">
        <f t="shared" si="3"/>
        <v>188</v>
      </c>
      <c r="Y15" s="18">
        <f t="shared" si="11"/>
        <v>3836</v>
      </c>
      <c r="Z15" s="18">
        <f t="shared" si="4"/>
        <v>0</v>
      </c>
      <c r="AA15">
        <v>80</v>
      </c>
      <c r="AB15" s="29"/>
      <c r="AC15" s="30"/>
      <c r="AD15" s="29"/>
      <c r="AE15" s="30"/>
      <c r="AF15" s="30">
        <v>20</v>
      </c>
      <c r="AG15" s="30">
        <v>46</v>
      </c>
      <c r="AH15" s="19">
        <f t="shared" si="12"/>
        <v>26</v>
      </c>
    </row>
    <row r="16" spans="1:34" ht="13">
      <c r="A16" s="6" t="s">
        <v>36</v>
      </c>
      <c r="B16" s="43">
        <v>45927</v>
      </c>
      <c r="C16" s="5" t="s">
        <v>61</v>
      </c>
      <c r="D16" s="6"/>
      <c r="E16" s="4" t="s">
        <v>60</v>
      </c>
      <c r="F16" s="47">
        <v>48</v>
      </c>
      <c r="G16" s="17">
        <f t="shared" si="8"/>
        <v>779</v>
      </c>
      <c r="H16" s="11">
        <f>ROUND(PRODUCT(G16/13),0)</f>
        <v>60</v>
      </c>
      <c r="I16" s="11">
        <f>ROUND(PRODUCT(G16/COUNT(F4:F16)),0)</f>
        <v>78</v>
      </c>
      <c r="J16" s="45">
        <v>0.12361111111111112</v>
      </c>
      <c r="K16" s="21">
        <f t="shared" si="5"/>
        <v>1.9784722222222222</v>
      </c>
      <c r="L16" s="38">
        <f t="shared" si="0"/>
        <v>16.2</v>
      </c>
      <c r="M16" s="46">
        <v>30</v>
      </c>
      <c r="N16" s="45">
        <v>0.17152777777777778</v>
      </c>
      <c r="O16" s="21">
        <f t="shared" si="6"/>
        <v>3.0125000000000002</v>
      </c>
      <c r="P16" s="38">
        <f t="shared" si="1"/>
        <v>11.7</v>
      </c>
      <c r="Q16" s="21">
        <f t="shared" si="2"/>
        <v>4.7916666666666663E-2</v>
      </c>
      <c r="R16" s="21">
        <f t="shared" si="9"/>
        <v>1.0340277777777778</v>
      </c>
      <c r="S16">
        <v>10</v>
      </c>
      <c r="T16">
        <v>20</v>
      </c>
      <c r="U16" s="18">
        <f t="shared" si="10"/>
        <v>10</v>
      </c>
      <c r="V16">
        <v>165</v>
      </c>
      <c r="W16" s="18">
        <f t="shared" si="7"/>
        <v>3971</v>
      </c>
      <c r="X16" s="11">
        <f t="shared" si="3"/>
        <v>155</v>
      </c>
      <c r="Y16" s="18">
        <f t="shared" si="11"/>
        <v>3991</v>
      </c>
      <c r="Z16" s="18">
        <f t="shared" si="4"/>
        <v>10</v>
      </c>
      <c r="AA16">
        <v>30</v>
      </c>
      <c r="AB16" s="29"/>
      <c r="AC16" s="30"/>
      <c r="AD16" s="29"/>
      <c r="AE16" s="30"/>
      <c r="AF16" s="30">
        <v>27</v>
      </c>
      <c r="AG16" s="30">
        <v>38</v>
      </c>
      <c r="AH16" s="19">
        <f t="shared" si="12"/>
        <v>11</v>
      </c>
    </row>
    <row r="17" spans="1:34" ht="13">
      <c r="A17" s="6" t="s">
        <v>37</v>
      </c>
      <c r="B17" s="43">
        <v>45928</v>
      </c>
      <c r="C17" s="5"/>
      <c r="D17" s="6" t="s">
        <v>60</v>
      </c>
      <c r="E17" s="4"/>
      <c r="F17" s="47">
        <v>32</v>
      </c>
      <c r="G17" s="17">
        <f t="shared" si="8"/>
        <v>811</v>
      </c>
      <c r="H17" s="11">
        <f>ROUND(PRODUCT(G17/14),0)</f>
        <v>58</v>
      </c>
      <c r="I17" s="11">
        <f>ROUND(PRODUCT(G17/COUNT(F4:F17)),0)</f>
        <v>74</v>
      </c>
      <c r="J17" s="45">
        <v>0.10277777777777777</v>
      </c>
      <c r="K17" s="21">
        <f t="shared" si="5"/>
        <v>2.0812499999999998</v>
      </c>
      <c r="L17" s="38">
        <f t="shared" si="0"/>
        <v>13</v>
      </c>
      <c r="M17" s="46">
        <v>38.799999999999997</v>
      </c>
      <c r="N17" s="45">
        <v>0.28611111111111109</v>
      </c>
      <c r="O17" s="21">
        <f t="shared" si="6"/>
        <v>3.2986111111111112</v>
      </c>
      <c r="P17" s="38">
        <f t="shared" si="1"/>
        <v>4.7</v>
      </c>
      <c r="Q17" s="21">
        <f t="shared" si="2"/>
        <v>0.18333333333333332</v>
      </c>
      <c r="R17" s="21">
        <f t="shared" si="9"/>
        <v>1.2173611111111111</v>
      </c>
      <c r="S17">
        <v>20</v>
      </c>
      <c r="T17">
        <v>20</v>
      </c>
      <c r="U17" s="18">
        <f t="shared" si="10"/>
        <v>0</v>
      </c>
      <c r="V17">
        <v>197</v>
      </c>
      <c r="W17" s="18">
        <f t="shared" si="7"/>
        <v>4168</v>
      </c>
      <c r="X17" s="11">
        <f t="shared" si="3"/>
        <v>197</v>
      </c>
      <c r="Y17" s="18">
        <f t="shared" si="11"/>
        <v>4188</v>
      </c>
      <c r="Z17" s="18">
        <f t="shared" si="4"/>
        <v>0</v>
      </c>
      <c r="AA17">
        <v>120</v>
      </c>
      <c r="AB17" s="11"/>
      <c r="AC17" s="30"/>
      <c r="AD17" s="29"/>
      <c r="AE17" s="30"/>
      <c r="AF17" s="30"/>
      <c r="AG17" s="30"/>
      <c r="AH17" s="19">
        <f t="shared" si="12"/>
        <v>0</v>
      </c>
    </row>
    <row r="18" spans="1:34" ht="13">
      <c r="A18" s="6" t="s">
        <v>38</v>
      </c>
      <c r="B18" s="43">
        <v>45929</v>
      </c>
      <c r="C18" s="5" t="s">
        <v>60</v>
      </c>
      <c r="D18" s="6" t="s">
        <v>64</v>
      </c>
      <c r="E18" s="4" t="s">
        <v>63</v>
      </c>
      <c r="F18" s="47">
        <v>45</v>
      </c>
      <c r="G18" s="17">
        <f t="shared" si="8"/>
        <v>856</v>
      </c>
      <c r="H18" s="11">
        <f>ROUND(PRODUCT(G18/15),0)</f>
        <v>57</v>
      </c>
      <c r="I18" s="11">
        <f>ROUND(PRODUCT(G18/COUNT(F4:F18)),0)</f>
        <v>71</v>
      </c>
      <c r="J18" s="45">
        <v>0.13333333333333333</v>
      </c>
      <c r="K18" s="21">
        <f t="shared" si="5"/>
        <v>2.2145833333333331</v>
      </c>
      <c r="L18" s="38">
        <f t="shared" si="0"/>
        <v>14.1</v>
      </c>
      <c r="M18" s="46">
        <v>46.1</v>
      </c>
      <c r="N18" s="45">
        <v>0.28611111111111109</v>
      </c>
      <c r="O18" s="21">
        <f t="shared" si="6"/>
        <v>3.5847222222222221</v>
      </c>
      <c r="P18" s="38">
        <f t="shared" si="1"/>
        <v>6.6</v>
      </c>
      <c r="Q18" s="21">
        <f t="shared" si="2"/>
        <v>0.15277777777777776</v>
      </c>
      <c r="R18" s="21">
        <f t="shared" si="9"/>
        <v>1.3701388888888888</v>
      </c>
      <c r="S18">
        <v>20</v>
      </c>
      <c r="T18">
        <v>20</v>
      </c>
      <c r="U18" s="18">
        <f t="shared" si="10"/>
        <v>0</v>
      </c>
      <c r="V18">
        <v>442</v>
      </c>
      <c r="W18" s="18">
        <f t="shared" si="7"/>
        <v>4610</v>
      </c>
      <c r="X18" s="11">
        <f t="shared" si="3"/>
        <v>442</v>
      </c>
      <c r="Y18" s="18">
        <f t="shared" si="11"/>
        <v>4630</v>
      </c>
      <c r="Z18" s="18">
        <f t="shared" si="4"/>
        <v>0</v>
      </c>
      <c r="AA18">
        <v>210</v>
      </c>
      <c r="AB18" s="11"/>
      <c r="AC18" s="30"/>
      <c r="AD18" s="29"/>
      <c r="AE18" s="30"/>
      <c r="AF18" s="30"/>
      <c r="AG18" s="30"/>
      <c r="AH18" s="19">
        <f t="shared" si="12"/>
        <v>0</v>
      </c>
    </row>
    <row r="19" spans="1:34" ht="13">
      <c r="A19" s="6" t="s">
        <v>39</v>
      </c>
      <c r="B19" s="43">
        <v>45930</v>
      </c>
      <c r="C19" s="5"/>
      <c r="D19" s="6" t="s">
        <v>60</v>
      </c>
      <c r="E19" s="4"/>
      <c r="F19" s="47">
        <v>23</v>
      </c>
      <c r="G19" s="17">
        <f t="shared" si="8"/>
        <v>879</v>
      </c>
      <c r="H19" s="11">
        <f>ROUND(PRODUCT(G19/16),0)</f>
        <v>55</v>
      </c>
      <c r="I19" s="11">
        <f>ROUND(PRODUCT(G19/COUNT(F4:F19)),0)</f>
        <v>68</v>
      </c>
      <c r="J19" s="45">
        <v>8.8888888888888892E-2</v>
      </c>
      <c r="K19" s="21">
        <f t="shared" si="5"/>
        <v>2.3034722222222221</v>
      </c>
      <c r="L19" s="38">
        <f t="shared" si="0"/>
        <v>10.8</v>
      </c>
      <c r="M19" s="46">
        <v>29.3</v>
      </c>
      <c r="N19" s="45">
        <v>0.13750000000000001</v>
      </c>
      <c r="O19" s="21">
        <f t="shared" si="6"/>
        <v>3.7222222222222223</v>
      </c>
      <c r="P19" s="38">
        <f t="shared" si="1"/>
        <v>7</v>
      </c>
      <c r="Q19" s="21">
        <f t="shared" si="2"/>
        <v>4.8611111111111119E-2</v>
      </c>
      <c r="R19" s="21">
        <f t="shared" si="9"/>
        <v>1.41875</v>
      </c>
      <c r="S19">
        <v>20</v>
      </c>
      <c r="T19">
        <v>20</v>
      </c>
      <c r="U19" s="18">
        <f t="shared" si="10"/>
        <v>0</v>
      </c>
      <c r="V19">
        <v>127</v>
      </c>
      <c r="W19" s="18">
        <f t="shared" si="7"/>
        <v>4737</v>
      </c>
      <c r="X19" s="11">
        <f t="shared" si="3"/>
        <v>127</v>
      </c>
      <c r="Y19" s="18">
        <f t="shared" si="11"/>
        <v>4757</v>
      </c>
      <c r="Z19" s="18">
        <f t="shared" si="4"/>
        <v>0</v>
      </c>
      <c r="AA19">
        <v>40</v>
      </c>
      <c r="AB19" s="29"/>
      <c r="AC19" s="30"/>
      <c r="AD19" s="29"/>
      <c r="AE19" s="30"/>
      <c r="AF19" s="30">
        <v>26</v>
      </c>
      <c r="AG19" s="30">
        <v>31</v>
      </c>
      <c r="AH19" s="19">
        <f t="shared" si="12"/>
        <v>5</v>
      </c>
    </row>
    <row r="20" spans="1:34" ht="13">
      <c r="A20" s="6" t="s">
        <v>40</v>
      </c>
      <c r="B20" s="43">
        <v>45931</v>
      </c>
      <c r="C20" s="5" t="s">
        <v>60</v>
      </c>
      <c r="D20" s="6" t="s">
        <v>76</v>
      </c>
      <c r="E20" s="4" t="s">
        <v>60</v>
      </c>
      <c r="F20" s="47">
        <v>56</v>
      </c>
      <c r="G20" s="17">
        <f t="shared" si="8"/>
        <v>935</v>
      </c>
      <c r="H20" s="11">
        <f>ROUND(PRODUCT(G20/17),0)</f>
        <v>55</v>
      </c>
      <c r="I20" s="11">
        <f>ROUND(PRODUCT(G20/COUNT(F4:F20)),0)</f>
        <v>67</v>
      </c>
      <c r="J20" s="45">
        <v>0.15347222222222223</v>
      </c>
      <c r="K20" s="21">
        <f t="shared" si="5"/>
        <v>2.4569444444444444</v>
      </c>
      <c r="L20" s="38">
        <f t="shared" si="0"/>
        <v>15.2</v>
      </c>
      <c r="M20" s="46">
        <v>43.2</v>
      </c>
      <c r="N20" s="45">
        <v>0.27361111111111114</v>
      </c>
      <c r="O20" s="21">
        <f t="shared" si="6"/>
        <v>3.9958333333333336</v>
      </c>
      <c r="P20" s="38">
        <f t="shared" si="1"/>
        <v>8.5</v>
      </c>
      <c r="Q20" s="21">
        <f t="shared" si="2"/>
        <v>0.12013888888888891</v>
      </c>
      <c r="R20" s="21">
        <f t="shared" si="9"/>
        <v>1.5388888888888888</v>
      </c>
      <c r="S20">
        <v>20</v>
      </c>
      <c r="T20">
        <v>20</v>
      </c>
      <c r="U20" s="18">
        <f t="shared" si="10"/>
        <v>0</v>
      </c>
      <c r="V20">
        <v>498</v>
      </c>
      <c r="W20" s="18">
        <f t="shared" si="7"/>
        <v>5235</v>
      </c>
      <c r="X20" s="11">
        <f t="shared" si="3"/>
        <v>498</v>
      </c>
      <c r="Y20" s="18">
        <f t="shared" si="11"/>
        <v>5255</v>
      </c>
      <c r="Z20" s="18">
        <f t="shared" si="4"/>
        <v>0</v>
      </c>
      <c r="AA20">
        <v>509</v>
      </c>
      <c r="AB20" s="29"/>
      <c r="AC20" s="30"/>
      <c r="AD20" s="29"/>
      <c r="AE20" s="30"/>
      <c r="AF20" s="30">
        <v>27</v>
      </c>
      <c r="AG20" s="30">
        <v>37</v>
      </c>
      <c r="AH20" s="19">
        <f t="shared" si="12"/>
        <v>10</v>
      </c>
    </row>
    <row r="21" spans="1:34" ht="13">
      <c r="A21" s="6" t="s">
        <v>41</v>
      </c>
      <c r="B21" s="43">
        <v>45932</v>
      </c>
      <c r="C21" s="5" t="s">
        <v>58</v>
      </c>
      <c r="D21" s="6" t="s">
        <v>77</v>
      </c>
      <c r="E21" s="4" t="s">
        <v>57</v>
      </c>
      <c r="F21" s="47">
        <v>106</v>
      </c>
      <c r="G21" s="17">
        <f t="shared" si="8"/>
        <v>1041</v>
      </c>
      <c r="H21" s="11">
        <f>ROUND(PRODUCT(G21/18),0)</f>
        <v>58</v>
      </c>
      <c r="I21" s="11">
        <f>ROUND(PRODUCT(G21/COUNT(F4:F21)),0)</f>
        <v>69</v>
      </c>
      <c r="J21" s="45">
        <v>0.26458333333333334</v>
      </c>
      <c r="K21" s="21">
        <f t="shared" si="5"/>
        <v>2.7215277777777778</v>
      </c>
      <c r="L21" s="38">
        <f t="shared" si="0"/>
        <v>16.7</v>
      </c>
      <c r="M21" s="46">
        <v>42.9</v>
      </c>
      <c r="N21" s="45">
        <v>0.35555555555555557</v>
      </c>
      <c r="O21" s="21">
        <f t="shared" si="6"/>
        <v>4.3513888888888888</v>
      </c>
      <c r="P21" s="38">
        <f t="shared" si="1"/>
        <v>12.4</v>
      </c>
      <c r="Q21" s="21">
        <f t="shared" si="2"/>
        <v>9.0972222222222232E-2</v>
      </c>
      <c r="R21" s="21">
        <f t="shared" si="9"/>
        <v>1.629861111111111</v>
      </c>
      <c r="S21">
        <v>20</v>
      </c>
      <c r="T21">
        <v>10</v>
      </c>
      <c r="U21" s="18">
        <f t="shared" si="10"/>
        <v>-10</v>
      </c>
      <c r="V21">
        <v>613</v>
      </c>
      <c r="W21" s="18">
        <f t="shared" si="7"/>
        <v>5848</v>
      </c>
      <c r="X21" s="11">
        <f t="shared" si="3"/>
        <v>623</v>
      </c>
      <c r="Y21" s="18">
        <f t="shared" si="11"/>
        <v>5878</v>
      </c>
      <c r="Z21" s="18">
        <f t="shared" si="4"/>
        <v>-10</v>
      </c>
      <c r="AA21">
        <v>100</v>
      </c>
      <c r="AB21" s="29"/>
      <c r="AC21" s="30"/>
      <c r="AD21" s="29"/>
      <c r="AE21" s="30"/>
      <c r="AF21" s="30">
        <v>23</v>
      </c>
      <c r="AG21" s="30">
        <v>39</v>
      </c>
      <c r="AH21" s="19">
        <f t="shared" si="12"/>
        <v>16</v>
      </c>
    </row>
    <row r="22" spans="1:34" ht="13">
      <c r="A22" s="6" t="s">
        <v>42</v>
      </c>
      <c r="B22" s="43">
        <v>45933</v>
      </c>
      <c r="C22" s="5"/>
      <c r="D22" s="6" t="s">
        <v>56</v>
      </c>
      <c r="E22" s="4"/>
      <c r="F22" s="47">
        <v>13</v>
      </c>
      <c r="G22" s="17">
        <f t="shared" si="8"/>
        <v>1054</v>
      </c>
      <c r="H22" s="11">
        <f>ROUND(PRODUCT(G22/19),0)</f>
        <v>55</v>
      </c>
      <c r="I22" s="11">
        <f>ROUND(PRODUCT(G22/COUNT(F4:F22)),0)</f>
        <v>66</v>
      </c>
      <c r="J22" s="45">
        <v>4.1666666666666664E-2</v>
      </c>
      <c r="K22" s="21">
        <f t="shared" si="5"/>
        <v>2.7631944444444443</v>
      </c>
      <c r="L22" s="38">
        <f t="shared" si="0"/>
        <v>13</v>
      </c>
      <c r="M22" s="46">
        <v>33.6</v>
      </c>
      <c r="N22" s="45">
        <v>8.3333333333333329E-2</v>
      </c>
      <c r="O22" s="21">
        <f t="shared" si="6"/>
        <v>4.4347222222222218</v>
      </c>
      <c r="P22" s="38">
        <f t="shared" si="1"/>
        <v>6.5</v>
      </c>
      <c r="Q22" s="21">
        <f t="shared" si="2"/>
        <v>4.1666666666666664E-2</v>
      </c>
      <c r="R22" s="21">
        <f t="shared" si="9"/>
        <v>1.6715277777777777</v>
      </c>
      <c r="S22">
        <v>10</v>
      </c>
      <c r="T22">
        <v>10</v>
      </c>
      <c r="U22" s="18">
        <f t="shared" si="10"/>
        <v>0</v>
      </c>
      <c r="V22">
        <v>110</v>
      </c>
      <c r="W22" s="18">
        <f t="shared" si="7"/>
        <v>5958</v>
      </c>
      <c r="X22" s="11">
        <f t="shared" si="3"/>
        <v>110</v>
      </c>
      <c r="Y22" s="18">
        <f t="shared" si="11"/>
        <v>5988</v>
      </c>
      <c r="Z22" s="18">
        <f t="shared" si="4"/>
        <v>0</v>
      </c>
      <c r="AA22">
        <v>20</v>
      </c>
      <c r="AB22" s="29"/>
      <c r="AC22" s="30"/>
      <c r="AD22" s="29"/>
      <c r="AE22" s="30"/>
      <c r="AF22" s="30">
        <v>27</v>
      </c>
      <c r="AG22" s="30">
        <v>37</v>
      </c>
      <c r="AH22" s="19">
        <f t="shared" si="12"/>
        <v>10</v>
      </c>
    </row>
    <row r="23" spans="1:34" ht="13">
      <c r="A23" s="6" t="s">
        <v>43</v>
      </c>
      <c r="B23" s="43">
        <v>45934</v>
      </c>
      <c r="C23" s="5"/>
      <c r="D23" s="6" t="s">
        <v>56</v>
      </c>
      <c r="E23" s="4"/>
      <c r="F23" s="47">
        <v>16</v>
      </c>
      <c r="G23" s="17">
        <f t="shared" si="8"/>
        <v>1070</v>
      </c>
      <c r="H23" s="11">
        <f>ROUND(PRODUCT(G23/20),0)</f>
        <v>54</v>
      </c>
      <c r="I23" s="11">
        <f>ROUND(PRODUCT(G23/COUNT(F4:F23)),0)</f>
        <v>63</v>
      </c>
      <c r="J23" s="45">
        <v>4.6527777777777779E-2</v>
      </c>
      <c r="K23" s="21">
        <f t="shared" si="5"/>
        <v>2.8097222222222222</v>
      </c>
      <c r="L23" s="38">
        <f t="shared" si="0"/>
        <v>14.3</v>
      </c>
      <c r="M23" s="46">
        <v>35.6</v>
      </c>
      <c r="N23" s="45">
        <v>0.125</v>
      </c>
      <c r="O23" s="21">
        <f t="shared" si="6"/>
        <v>4.5597222222222218</v>
      </c>
      <c r="P23" s="38">
        <f t="shared" si="1"/>
        <v>5.3</v>
      </c>
      <c r="Q23" s="21">
        <f t="shared" si="2"/>
        <v>7.8472222222222221E-2</v>
      </c>
      <c r="R23" s="21">
        <f t="shared" si="9"/>
        <v>1.75</v>
      </c>
      <c r="S23">
        <v>10</v>
      </c>
      <c r="T23">
        <v>10</v>
      </c>
      <c r="U23" s="18">
        <f t="shared" si="10"/>
        <v>0</v>
      </c>
      <c r="V23">
        <v>80</v>
      </c>
      <c r="W23" s="18">
        <f t="shared" si="7"/>
        <v>6038</v>
      </c>
      <c r="X23" s="11">
        <f t="shared" si="3"/>
        <v>80</v>
      </c>
      <c r="Y23" s="18">
        <f t="shared" si="11"/>
        <v>6068</v>
      </c>
      <c r="Z23" s="18">
        <f t="shared" si="4"/>
        <v>0</v>
      </c>
      <c r="AA23">
        <v>30</v>
      </c>
      <c r="AB23" s="29"/>
      <c r="AC23" s="30"/>
      <c r="AD23" s="29"/>
      <c r="AE23" s="30"/>
      <c r="AF23" s="30">
        <v>20</v>
      </c>
      <c r="AG23" s="30">
        <v>34</v>
      </c>
      <c r="AH23" s="19">
        <f t="shared" si="12"/>
        <v>14</v>
      </c>
    </row>
    <row r="24" spans="1:34" ht="13">
      <c r="A24" s="31" t="s">
        <v>6</v>
      </c>
      <c r="B24" s="55"/>
      <c r="C24" s="56"/>
      <c r="D24" s="56"/>
      <c r="E24" s="57"/>
      <c r="F24" s="32">
        <f>SUM(F4:F23)</f>
        <v>1070</v>
      </c>
      <c r="G24" s="22">
        <f>SUM(G23)</f>
        <v>1070</v>
      </c>
      <c r="H24" s="22">
        <f>SUM(H23)</f>
        <v>54</v>
      </c>
      <c r="I24" s="22">
        <f>SUM(I23)</f>
        <v>63</v>
      </c>
      <c r="J24" s="23">
        <f>SUM(J4:J23)</f>
        <v>2.8097222222222222</v>
      </c>
      <c r="K24" s="35">
        <f>F24/SUM(HOUR(J24)+(ROUNDDOWN(J24,0)*24),PRODUCT(MINUTE(J24)/60))</f>
        <v>15.867523479980226</v>
      </c>
      <c r="L24" s="40">
        <f>SUM(L4:L23)/COUNT(F4:F23)</f>
        <v>15.358823529411763</v>
      </c>
      <c r="M24" s="39">
        <f>PRODUCT(SUM(M4:M23),1/COUNT(M4:M23))</f>
        <v>42.670588235294119</v>
      </c>
      <c r="N24" s="23">
        <f>SUM(N4:N23)</f>
        <v>4.5597222222222218</v>
      </c>
      <c r="O24" s="35">
        <f>F24/SUM(HOUR(N24)+(ROUNDDOWN(N24,0)*24),PRODUCT(MINUTE(N24)/60))</f>
        <v>9.7776424002436784</v>
      </c>
      <c r="P24" s="40">
        <f>SUM(P4:P23)/COUNT(F4:F23)</f>
        <v>9.5058823529411782</v>
      </c>
      <c r="Q24" s="23">
        <f>SUM(Q4:Q23)</f>
        <v>1.75</v>
      </c>
      <c r="R24" s="22"/>
      <c r="S24" s="22">
        <f>ROUND(SUM(S4:S23)/COUNT(S4:S23),0)</f>
        <v>34</v>
      </c>
      <c r="T24" s="22">
        <f>ROUND(SUM(T4:T23)/COUNT(T4:T23),0)</f>
        <v>32</v>
      </c>
      <c r="U24" s="24">
        <f>SUM(U4:U23)</f>
        <v>-30</v>
      </c>
      <c r="V24" s="22">
        <f>ROUND(SUM(V4:V23)/COUNT(V4:V23),0)</f>
        <v>355</v>
      </c>
      <c r="W24" s="22"/>
      <c r="X24" s="22">
        <f>ROUND(SUM(X4:X23)/COUNT(V4:V23),0)</f>
        <v>357</v>
      </c>
      <c r="Y24" s="22"/>
      <c r="Z24" s="24">
        <f>SUM(Z4:Z23)</f>
        <v>-30</v>
      </c>
      <c r="AA24" s="22">
        <f>ROUND(SUM(AA4:AA23)/COUNT(AA4:AA23),0)</f>
        <v>140</v>
      </c>
      <c r="AB24" s="34" t="e">
        <f t="shared" ref="AB24:AG24" si="13">SUM(AB4:AB23)/COUNT(AB4:AB23)</f>
        <v>#DIV/0!</v>
      </c>
      <c r="AC24" s="34" t="e">
        <f t="shared" si="13"/>
        <v>#DIV/0!</v>
      </c>
      <c r="AD24" s="34" t="e">
        <f t="shared" si="13"/>
        <v>#DIV/0!</v>
      </c>
      <c r="AE24" s="34" t="e">
        <f t="shared" si="13"/>
        <v>#DIV/0!</v>
      </c>
      <c r="AF24" s="34">
        <f t="shared" si="13"/>
        <v>23.411764705882351</v>
      </c>
      <c r="AG24" s="34">
        <f t="shared" si="13"/>
        <v>38.470588235294116</v>
      </c>
      <c r="AH24" s="34">
        <f>SUM(AH4:AH23)/COUNT(AG4:AG23)</f>
        <v>15.058823529411764</v>
      </c>
    </row>
    <row r="25" spans="1:34" ht="13">
      <c r="Q25" s="11"/>
      <c r="R25" s="11"/>
      <c r="S25" s="11"/>
      <c r="W25" s="18"/>
      <c r="Y25" s="18"/>
    </row>
    <row r="26" spans="1:34" ht="13">
      <c r="O26" s="11"/>
      <c r="P26" s="11"/>
      <c r="Q26" s="11"/>
      <c r="R26" s="33"/>
      <c r="S26" s="11"/>
      <c r="T26" s="11"/>
      <c r="U26" s="11"/>
      <c r="V26" s="11"/>
      <c r="W26" s="18"/>
      <c r="X26" s="11"/>
      <c r="Y26" s="18"/>
      <c r="Z26" s="11"/>
      <c r="AA26" s="11"/>
    </row>
    <row r="27" spans="1:34" ht="13">
      <c r="N27" s="37"/>
      <c r="O27" s="11"/>
      <c r="P27" s="11"/>
      <c r="Q27" s="36"/>
      <c r="R27" s="36"/>
      <c r="S27" s="11"/>
      <c r="T27" s="11"/>
      <c r="U27" s="11"/>
      <c r="V27" s="11"/>
      <c r="W27" s="11"/>
      <c r="X27" s="11"/>
      <c r="Y27" s="11"/>
      <c r="Z27" s="11"/>
      <c r="AA27" s="11"/>
    </row>
    <row r="28" spans="1:34" ht="13">
      <c r="O28" s="11"/>
      <c r="P28" s="11"/>
      <c r="Q28" s="36"/>
      <c r="R28" s="36"/>
      <c r="S28" s="11"/>
      <c r="T28" s="11"/>
      <c r="U28" s="11"/>
      <c r="V28" s="11"/>
      <c r="W28" s="11"/>
      <c r="X28" s="11"/>
      <c r="Y28" s="11"/>
      <c r="Z28" s="11"/>
      <c r="AA28" s="11"/>
    </row>
    <row r="29" spans="1:34" ht="13">
      <c r="O29" s="11"/>
      <c r="P29" s="11"/>
      <c r="Q29" s="11"/>
      <c r="R29" s="36"/>
      <c r="S29" s="11"/>
      <c r="T29" s="11"/>
      <c r="U29" s="11"/>
      <c r="V29" s="11"/>
      <c r="W29" s="11"/>
      <c r="X29" s="11"/>
      <c r="Y29" s="11"/>
      <c r="Z29" s="11"/>
      <c r="AA29" s="11"/>
    </row>
    <row r="30" spans="1:34"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</sheetData>
  <mergeCells count="4">
    <mergeCell ref="A1:F1"/>
    <mergeCell ref="A2:F2"/>
    <mergeCell ref="G1:AH1"/>
    <mergeCell ref="B24:E24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1CEB-B6EC-4A24-BA92-9B74D4D4B428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36FE-BA1D-4135-B216-66D72BB0BE0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2025-11-12T19:55:47Z</dcterms:modified>
</cp:coreProperties>
</file>