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chris\Documents\V - My Sports\Bike\0000 Radstrecken\"/>
    </mc:Choice>
  </mc:AlternateContent>
  <xr:revisionPtr revIDLastSave="0" documentId="13_ncr:1_{DFD02A8F-71B5-4896-B430-2EDA4DCC3D2B}" xr6:coauthVersionLast="47" xr6:coauthVersionMax="47" xr10:uidLastSave="{00000000-0000-0000-0000-000000000000}"/>
  <bookViews>
    <workbookView xWindow="-110" yWindow="-110" windowWidth="19420" windowHeight="10420" xr2:uid="{0B8A3936-6A9E-4470-A3F6-E34600BE85A4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K53" i="1" s="1"/>
  <c r="I53" i="1"/>
  <c r="H53" i="1"/>
  <c r="G53" i="1"/>
  <c r="AH13" i="1"/>
  <c r="AH41" i="1"/>
  <c r="X41" i="1"/>
  <c r="Z41" i="1" s="1"/>
  <c r="U41" i="1"/>
  <c r="Q41" i="1"/>
  <c r="P41" i="1"/>
  <c r="L41" i="1"/>
  <c r="AH52" i="1"/>
  <c r="X52" i="1"/>
  <c r="Z52" i="1" s="1"/>
  <c r="U52" i="1"/>
  <c r="Q52" i="1"/>
  <c r="P52" i="1"/>
  <c r="L52" i="1"/>
  <c r="AH51" i="1"/>
  <c r="X51" i="1"/>
  <c r="Z51" i="1" s="1"/>
  <c r="U51" i="1"/>
  <c r="Q51" i="1"/>
  <c r="P51" i="1"/>
  <c r="L51" i="1"/>
  <c r="AH50" i="1"/>
  <c r="X50" i="1"/>
  <c r="Z50" i="1" s="1"/>
  <c r="U50" i="1"/>
  <c r="Q50" i="1"/>
  <c r="P50" i="1"/>
  <c r="L50" i="1"/>
  <c r="AH49" i="1"/>
  <c r="X49" i="1"/>
  <c r="Z49" i="1" s="1"/>
  <c r="U49" i="1"/>
  <c r="Q49" i="1"/>
  <c r="P49" i="1"/>
  <c r="L49" i="1"/>
  <c r="AH48" i="1"/>
  <c r="X48" i="1"/>
  <c r="Z48" i="1" s="1"/>
  <c r="U48" i="1"/>
  <c r="Q48" i="1"/>
  <c r="P48" i="1"/>
  <c r="L48" i="1"/>
  <c r="AH47" i="1"/>
  <c r="X47" i="1"/>
  <c r="Z47" i="1" s="1"/>
  <c r="U47" i="1"/>
  <c r="Q47" i="1"/>
  <c r="P47" i="1"/>
  <c r="L47" i="1"/>
  <c r="AH46" i="1"/>
  <c r="X46" i="1"/>
  <c r="Z46" i="1" s="1"/>
  <c r="U46" i="1"/>
  <c r="Q46" i="1"/>
  <c r="P46" i="1"/>
  <c r="L46" i="1"/>
  <c r="AH45" i="1"/>
  <c r="X45" i="1"/>
  <c r="Z45" i="1" s="1"/>
  <c r="U45" i="1"/>
  <c r="Q45" i="1"/>
  <c r="P45" i="1"/>
  <c r="L45" i="1"/>
  <c r="AH44" i="1"/>
  <c r="X44" i="1"/>
  <c r="Z44" i="1" s="1"/>
  <c r="U44" i="1"/>
  <c r="Q44" i="1"/>
  <c r="P44" i="1"/>
  <c r="L44" i="1"/>
  <c r="AH43" i="1"/>
  <c r="X43" i="1"/>
  <c r="Z43" i="1" s="1"/>
  <c r="U43" i="1"/>
  <c r="Q43" i="1"/>
  <c r="P43" i="1"/>
  <c r="L43" i="1"/>
  <c r="AH42" i="1"/>
  <c r="X42" i="1"/>
  <c r="Z42" i="1" s="1"/>
  <c r="U42" i="1"/>
  <c r="Q42" i="1"/>
  <c r="P42" i="1"/>
  <c r="L42" i="1"/>
  <c r="G4" i="1"/>
  <c r="G5" i="1" s="1"/>
  <c r="K4" i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L4" i="1"/>
  <c r="O4" i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P4" i="1"/>
  <c r="Q4" i="1"/>
  <c r="R4" i="1" s="1"/>
  <c r="U4" i="1"/>
  <c r="W4" i="1"/>
  <c r="W5" i="1" s="1"/>
  <c r="W6" i="1" s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X4" i="1"/>
  <c r="Y4" i="1" s="1"/>
  <c r="AH4" i="1"/>
  <c r="L5" i="1"/>
  <c r="P5" i="1"/>
  <c r="Q5" i="1"/>
  <c r="U5" i="1"/>
  <c r="X5" i="1"/>
  <c r="Z5" i="1" s="1"/>
  <c r="AH5" i="1"/>
  <c r="L6" i="1"/>
  <c r="P6" i="1"/>
  <c r="Q6" i="1"/>
  <c r="U6" i="1"/>
  <c r="X6" i="1"/>
  <c r="Z6" i="1" s="1"/>
  <c r="AH6" i="1"/>
  <c r="L7" i="1"/>
  <c r="P7" i="1"/>
  <c r="Q7" i="1"/>
  <c r="U7" i="1"/>
  <c r="X7" i="1"/>
  <c r="AH7" i="1"/>
  <c r="L8" i="1"/>
  <c r="P8" i="1"/>
  <c r="Q8" i="1"/>
  <c r="U8" i="1"/>
  <c r="X8" i="1"/>
  <c r="Z8" i="1" s="1"/>
  <c r="AH8" i="1"/>
  <c r="L9" i="1"/>
  <c r="P9" i="1"/>
  <c r="Q9" i="1"/>
  <c r="U9" i="1"/>
  <c r="X9" i="1"/>
  <c r="Z9" i="1" s="1"/>
  <c r="AH9" i="1"/>
  <c r="L10" i="1"/>
  <c r="P10" i="1"/>
  <c r="Q10" i="1"/>
  <c r="U10" i="1"/>
  <c r="X10" i="1"/>
  <c r="Z10" i="1" s="1"/>
  <c r="AH10" i="1"/>
  <c r="L11" i="1"/>
  <c r="P11" i="1"/>
  <c r="Q11" i="1"/>
  <c r="U11" i="1"/>
  <c r="X11" i="1"/>
  <c r="Z11" i="1" s="1"/>
  <c r="AH11" i="1"/>
  <c r="L12" i="1"/>
  <c r="P12" i="1"/>
  <c r="Q12" i="1"/>
  <c r="U12" i="1"/>
  <c r="X12" i="1"/>
  <c r="Z12" i="1" s="1"/>
  <c r="AH12" i="1"/>
  <c r="L13" i="1"/>
  <c r="P13" i="1"/>
  <c r="Q13" i="1"/>
  <c r="U13" i="1"/>
  <c r="X13" i="1"/>
  <c r="Z13" i="1" s="1"/>
  <c r="L14" i="1"/>
  <c r="P14" i="1"/>
  <c r="Q14" i="1"/>
  <c r="U14" i="1"/>
  <c r="X14" i="1"/>
  <c r="Z14" i="1" s="1"/>
  <c r="AH14" i="1"/>
  <c r="L15" i="1"/>
  <c r="P15" i="1"/>
  <c r="Q15" i="1"/>
  <c r="U15" i="1"/>
  <c r="X15" i="1"/>
  <c r="Z15" i="1" s="1"/>
  <c r="AH15" i="1"/>
  <c r="L16" i="1"/>
  <c r="P16" i="1"/>
  <c r="Q16" i="1"/>
  <c r="U16" i="1"/>
  <c r="X16" i="1"/>
  <c r="Z16" i="1" s="1"/>
  <c r="AH16" i="1"/>
  <c r="L17" i="1"/>
  <c r="P17" i="1"/>
  <c r="Q17" i="1"/>
  <c r="U17" i="1"/>
  <c r="X17" i="1"/>
  <c r="Z17" i="1" s="1"/>
  <c r="AH17" i="1"/>
  <c r="L18" i="1"/>
  <c r="P18" i="1"/>
  <c r="Q18" i="1"/>
  <c r="U18" i="1"/>
  <c r="X18" i="1"/>
  <c r="Z18" i="1" s="1"/>
  <c r="AH18" i="1"/>
  <c r="L19" i="1"/>
  <c r="P19" i="1"/>
  <c r="Q19" i="1"/>
  <c r="U19" i="1"/>
  <c r="X19" i="1"/>
  <c r="Z19" i="1" s="1"/>
  <c r="AH19" i="1"/>
  <c r="L20" i="1"/>
  <c r="P20" i="1"/>
  <c r="Q20" i="1"/>
  <c r="U20" i="1"/>
  <c r="X20" i="1"/>
  <c r="Z20" i="1" s="1"/>
  <c r="AH20" i="1"/>
  <c r="L21" i="1"/>
  <c r="P21" i="1"/>
  <c r="Q21" i="1"/>
  <c r="U21" i="1"/>
  <c r="X21" i="1"/>
  <c r="Z21" i="1" s="1"/>
  <c r="AH21" i="1"/>
  <c r="L22" i="1"/>
  <c r="P22" i="1"/>
  <c r="Q22" i="1"/>
  <c r="U22" i="1"/>
  <c r="X22" i="1"/>
  <c r="Z22" i="1" s="1"/>
  <c r="AH22" i="1"/>
  <c r="L23" i="1"/>
  <c r="P23" i="1"/>
  <c r="Q23" i="1"/>
  <c r="U23" i="1"/>
  <c r="X23" i="1"/>
  <c r="Z23" i="1" s="1"/>
  <c r="AH23" i="1"/>
  <c r="L24" i="1"/>
  <c r="P24" i="1"/>
  <c r="Q24" i="1"/>
  <c r="U24" i="1"/>
  <c r="X24" i="1"/>
  <c r="Z24" i="1" s="1"/>
  <c r="AH24" i="1"/>
  <c r="L25" i="1"/>
  <c r="P25" i="1"/>
  <c r="Q25" i="1"/>
  <c r="U25" i="1"/>
  <c r="X25" i="1"/>
  <c r="Z25" i="1" s="1"/>
  <c r="AH25" i="1"/>
  <c r="L26" i="1"/>
  <c r="P26" i="1"/>
  <c r="Q26" i="1"/>
  <c r="U26" i="1"/>
  <c r="X26" i="1"/>
  <c r="Z26" i="1" s="1"/>
  <c r="AH26" i="1"/>
  <c r="L27" i="1"/>
  <c r="P27" i="1"/>
  <c r="Q27" i="1"/>
  <c r="U27" i="1"/>
  <c r="X27" i="1"/>
  <c r="Z27" i="1" s="1"/>
  <c r="AH27" i="1"/>
  <c r="L28" i="1"/>
  <c r="P28" i="1"/>
  <c r="Q28" i="1"/>
  <c r="U28" i="1"/>
  <c r="X28" i="1"/>
  <c r="Z28" i="1" s="1"/>
  <c r="AH28" i="1"/>
  <c r="L29" i="1"/>
  <c r="P29" i="1"/>
  <c r="Q29" i="1"/>
  <c r="U29" i="1"/>
  <c r="X29" i="1"/>
  <c r="Z29" i="1" s="1"/>
  <c r="AH29" i="1"/>
  <c r="L30" i="1"/>
  <c r="P30" i="1"/>
  <c r="Q30" i="1"/>
  <c r="U30" i="1"/>
  <c r="X30" i="1"/>
  <c r="Z30" i="1" s="1"/>
  <c r="AH30" i="1"/>
  <c r="L31" i="1"/>
  <c r="P31" i="1"/>
  <c r="Q31" i="1"/>
  <c r="U31" i="1"/>
  <c r="X31" i="1"/>
  <c r="Z31" i="1" s="1"/>
  <c r="AH31" i="1"/>
  <c r="L32" i="1"/>
  <c r="P32" i="1"/>
  <c r="Q32" i="1"/>
  <c r="U32" i="1"/>
  <c r="X32" i="1"/>
  <c r="Z32" i="1" s="1"/>
  <c r="AH32" i="1"/>
  <c r="L33" i="1"/>
  <c r="P33" i="1"/>
  <c r="Q33" i="1"/>
  <c r="U33" i="1"/>
  <c r="X33" i="1"/>
  <c r="Z33" i="1" s="1"/>
  <c r="AH33" i="1"/>
  <c r="L34" i="1"/>
  <c r="P34" i="1"/>
  <c r="Q34" i="1"/>
  <c r="U34" i="1"/>
  <c r="X34" i="1"/>
  <c r="Z34" i="1" s="1"/>
  <c r="AH34" i="1"/>
  <c r="L35" i="1"/>
  <c r="P35" i="1"/>
  <c r="Q35" i="1"/>
  <c r="U35" i="1"/>
  <c r="X35" i="1"/>
  <c r="Z35" i="1"/>
  <c r="AH35" i="1"/>
  <c r="L36" i="1"/>
  <c r="P36" i="1"/>
  <c r="Q36" i="1"/>
  <c r="U36" i="1"/>
  <c r="X36" i="1"/>
  <c r="Z36" i="1" s="1"/>
  <c r="AH36" i="1"/>
  <c r="L37" i="1"/>
  <c r="P37" i="1"/>
  <c r="Q37" i="1"/>
  <c r="U37" i="1"/>
  <c r="X37" i="1"/>
  <c r="Z37" i="1" s="1"/>
  <c r="AH37" i="1"/>
  <c r="L38" i="1"/>
  <c r="P38" i="1"/>
  <c r="Q38" i="1"/>
  <c r="U38" i="1"/>
  <c r="X38" i="1"/>
  <c r="Z38" i="1" s="1"/>
  <c r="AH38" i="1"/>
  <c r="L39" i="1"/>
  <c r="P39" i="1"/>
  <c r="Q39" i="1"/>
  <c r="U39" i="1"/>
  <c r="X39" i="1"/>
  <c r="Z39" i="1" s="1"/>
  <c r="AH39" i="1"/>
  <c r="L40" i="1"/>
  <c r="P40" i="1"/>
  <c r="Q40" i="1"/>
  <c r="U40" i="1"/>
  <c r="X40" i="1"/>
  <c r="Z40" i="1" s="1"/>
  <c r="AH40" i="1"/>
  <c r="J53" i="1"/>
  <c r="M53" i="1"/>
  <c r="N53" i="1"/>
  <c r="S53" i="1"/>
  <c r="T53" i="1"/>
  <c r="V53" i="1"/>
  <c r="AA53" i="1"/>
  <c r="AB53" i="1"/>
  <c r="AC53" i="1"/>
  <c r="AD53" i="1"/>
  <c r="AE53" i="1"/>
  <c r="AF53" i="1"/>
  <c r="AG53" i="1"/>
  <c r="AH53" i="1" l="1"/>
  <c r="O53" i="1"/>
  <c r="Y5" i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Z4" i="1"/>
  <c r="U53" i="1"/>
  <c r="X53" i="1"/>
  <c r="Q53" i="1"/>
  <c r="R5" i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Z7" i="1"/>
  <c r="H4" i="1"/>
  <c r="L53" i="1"/>
  <c r="P53" i="1"/>
  <c r="I5" i="1"/>
  <c r="H5" i="1"/>
  <c r="G6" i="1"/>
  <c r="I4" i="1"/>
  <c r="Z53" i="1" l="1"/>
  <c r="G7" i="1"/>
  <c r="I6" i="1"/>
  <c r="H6" i="1"/>
  <c r="I7" i="1" l="1"/>
  <c r="G8" i="1"/>
  <c r="H7" i="1"/>
  <c r="H8" i="1" l="1"/>
  <c r="I8" i="1"/>
  <c r="G9" i="1"/>
  <c r="H9" i="1" l="1"/>
  <c r="G10" i="1"/>
  <c r="I9" i="1"/>
  <c r="H10" i="1" l="1"/>
  <c r="G11" i="1"/>
  <c r="I10" i="1"/>
  <c r="H11" i="1" l="1"/>
  <c r="G12" i="1"/>
  <c r="I11" i="1"/>
  <c r="H12" i="1" l="1"/>
  <c r="I12" i="1"/>
  <c r="G13" i="1"/>
  <c r="H13" i="1" l="1"/>
  <c r="G14" i="1"/>
  <c r="I13" i="1"/>
  <c r="G15" i="1" l="1"/>
  <c r="I14" i="1"/>
  <c r="H14" i="1"/>
  <c r="G16" i="1" l="1"/>
  <c r="H15" i="1"/>
  <c r="I15" i="1"/>
  <c r="G17" i="1" l="1"/>
  <c r="H16" i="1"/>
  <c r="I16" i="1"/>
  <c r="G18" i="1" l="1"/>
  <c r="H17" i="1"/>
  <c r="I17" i="1"/>
  <c r="I18" i="1" l="1"/>
  <c r="G19" i="1"/>
  <c r="H18" i="1"/>
  <c r="I19" i="1" l="1"/>
  <c r="G20" i="1"/>
  <c r="H19" i="1"/>
  <c r="I20" i="1" l="1"/>
  <c r="H20" i="1"/>
  <c r="G21" i="1"/>
  <c r="I21" i="1" l="1"/>
  <c r="G22" i="1"/>
  <c r="H21" i="1"/>
  <c r="H22" i="1" l="1"/>
  <c r="G23" i="1"/>
  <c r="I22" i="1"/>
  <c r="H23" i="1" l="1"/>
  <c r="I23" i="1"/>
  <c r="G24" i="1"/>
  <c r="G25" i="1" l="1"/>
  <c r="H24" i="1"/>
  <c r="I24" i="1"/>
  <c r="G26" i="1" l="1"/>
  <c r="H25" i="1"/>
  <c r="I25" i="1"/>
  <c r="G27" i="1" l="1"/>
  <c r="I26" i="1"/>
  <c r="H26" i="1"/>
  <c r="I27" i="1" l="1"/>
  <c r="G28" i="1"/>
  <c r="H27" i="1"/>
  <c r="I28" i="1" l="1"/>
  <c r="G29" i="1"/>
  <c r="H28" i="1"/>
  <c r="H29" i="1" l="1"/>
  <c r="G30" i="1"/>
  <c r="I29" i="1"/>
  <c r="H30" i="1" l="1"/>
  <c r="I30" i="1"/>
  <c r="G31" i="1"/>
  <c r="H31" i="1" l="1"/>
  <c r="I31" i="1"/>
  <c r="G32" i="1"/>
  <c r="I32" i="1" l="1"/>
  <c r="G33" i="1"/>
  <c r="H32" i="1"/>
  <c r="G34" i="1" l="1"/>
  <c r="H33" i="1"/>
  <c r="I33" i="1"/>
  <c r="I34" i="1" l="1"/>
  <c r="H34" i="1"/>
  <c r="G35" i="1"/>
  <c r="G36" i="1" l="1"/>
  <c r="H35" i="1"/>
  <c r="I35" i="1"/>
  <c r="H36" i="1" l="1"/>
  <c r="I36" i="1"/>
  <c r="G37" i="1"/>
  <c r="G38" i="1" l="1"/>
  <c r="H37" i="1"/>
  <c r="I37" i="1"/>
  <c r="I38" i="1" l="1"/>
  <c r="H38" i="1"/>
  <c r="G39" i="1"/>
  <c r="I39" i="1" l="1"/>
  <c r="G40" i="1"/>
  <c r="H39" i="1"/>
  <c r="H40" i="1" l="1"/>
  <c r="I40" i="1"/>
  <c r="G41" i="1"/>
  <c r="H41" i="1" l="1"/>
  <c r="I41" i="1"/>
  <c r="G42" i="1"/>
  <c r="G43" i="1" l="1"/>
  <c r="H42" i="1"/>
  <c r="I42" i="1"/>
  <c r="I43" i="1" l="1"/>
  <c r="H43" i="1"/>
  <c r="G44" i="1"/>
  <c r="I44" i="1" l="1"/>
  <c r="G45" i="1"/>
  <c r="H44" i="1"/>
  <c r="I45" i="1" l="1"/>
  <c r="H45" i="1"/>
  <c r="G46" i="1"/>
  <c r="H46" i="1" l="1"/>
  <c r="I46" i="1"/>
  <c r="G47" i="1"/>
  <c r="G48" i="1" l="1"/>
  <c r="H47" i="1"/>
  <c r="I47" i="1"/>
  <c r="H48" i="1" l="1"/>
  <c r="I48" i="1"/>
  <c r="G49" i="1"/>
  <c r="H49" i="1" l="1"/>
  <c r="I49" i="1"/>
  <c r="G50" i="1"/>
  <c r="I50" i="1" l="1"/>
  <c r="H50" i="1"/>
  <c r="G51" i="1"/>
  <c r="H51" i="1" l="1"/>
  <c r="I51" i="1"/>
  <c r="G52" i="1"/>
  <c r="H52" i="1" l="1"/>
  <c r="I52" i="1"/>
</calcChain>
</file>

<file path=xl/sharedStrings.xml><?xml version="1.0" encoding="utf-8"?>
<sst xmlns="http://schemas.openxmlformats.org/spreadsheetml/2006/main" count="219" uniqueCount="170">
  <si>
    <t>Tag</t>
  </si>
  <si>
    <t>Datum</t>
  </si>
  <si>
    <t>Start</t>
  </si>
  <si>
    <t>Zwischenstationen</t>
  </si>
  <si>
    <t>Ziel</t>
  </si>
  <si>
    <t>10.</t>
  </si>
  <si>
    <t>Summe</t>
  </si>
  <si>
    <t>11.</t>
  </si>
  <si>
    <t>Fahrzeit</t>
  </si>
  <si>
    <t>Höhe Beginn</t>
  </si>
  <si>
    <t>Höhe Ende</t>
  </si>
  <si>
    <t>Max. Höhe</t>
  </si>
  <si>
    <t>Hm aufw</t>
  </si>
  <si>
    <t>Hm abw</t>
  </si>
  <si>
    <t>Gesamtzeit</t>
  </si>
  <si>
    <t>Pausenzeit</t>
  </si>
  <si>
    <t>Max.Temp.</t>
  </si>
  <si>
    <t xml:space="preserve">Min.Temp. </t>
  </si>
  <si>
    <t>Ø Steigung</t>
  </si>
  <si>
    <t>max.Steigung</t>
  </si>
  <si>
    <t>Ø Gefälle</t>
  </si>
  <si>
    <t>max.Gefälle</t>
  </si>
  <si>
    <t>km</t>
  </si>
  <si>
    <t>km/Tag</t>
  </si>
  <si>
    <t>km/Fahrtag</t>
  </si>
  <si>
    <t>max. km/h</t>
  </si>
  <si>
    <t>Σ km</t>
  </si>
  <si>
    <t>Σ Hm aufw</t>
  </si>
  <si>
    <t>Δ Temp.</t>
  </si>
  <si>
    <t>Σ Hm abw</t>
  </si>
  <si>
    <t>Δ Hmauf-abw</t>
  </si>
  <si>
    <t>Δ Beg./Ende</t>
  </si>
  <si>
    <t>Σ Fahrzeit</t>
  </si>
  <si>
    <t>Σ Gesamtzeit</t>
  </si>
  <si>
    <t>Σ Pausenzeit</t>
  </si>
  <si>
    <t>12.</t>
  </si>
  <si>
    <t>13.</t>
  </si>
  <si>
    <t>14.</t>
  </si>
  <si>
    <t>15.</t>
  </si>
  <si>
    <t>16.</t>
  </si>
  <si>
    <t>17.</t>
  </si>
  <si>
    <t>18.</t>
  </si>
  <si>
    <t>19.</t>
  </si>
  <si>
    <t>km/h brutto</t>
  </si>
  <si>
    <t>km/h netto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</si>
  <si>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</si>
  <si>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</si>
  <si>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</si>
  <si>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</si>
  <si>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</si>
  <si>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</si>
  <si>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</si>
  <si>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</si>
  <si>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</si>
  <si>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</si>
  <si>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</si>
  <si>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</si>
  <si>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</si>
  <si>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</si>
  <si>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</si>
  <si>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</si>
  <si>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</si>
  <si>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</si>
  <si>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</si>
  <si>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</si>
  <si>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</si>
  <si>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</si>
  <si>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</si>
  <si>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</si>
  <si>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</si>
  <si>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</si>
  <si>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</si>
  <si>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</si>
  <si>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</si>
  <si>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</si>
  <si>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</si>
  <si>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</si>
  <si>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</si>
  <si>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</si>
  <si>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</si>
  <si>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</si>
  <si>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</si>
  <si>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</si>
  <si>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</si>
  <si>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Kigali - Sani Top - Durban (6.12.2025-23.1.2026)</t>
  </si>
  <si>
    <r>
      <t>Statistik</t>
    </r>
    <r>
      <rPr>
        <b/>
        <sz val="20"/>
        <rFont val="Arial"/>
        <family val="2"/>
      </rPr>
      <t xml:space="preserve"> Kigali - Sani Top - Durban (6.12.2025-23.1.2026)</t>
    </r>
  </si>
  <si>
    <t>Kigali</t>
  </si>
  <si>
    <t>Ruhanga</t>
  </si>
  <si>
    <t>Rwamagana</t>
  </si>
  <si>
    <t>Grenze RWA/TZA</t>
  </si>
  <si>
    <t>Rusumo</t>
  </si>
  <si>
    <t>Kabanga (Grenze TZA/BUR)</t>
  </si>
  <si>
    <t>Muyinga</t>
  </si>
  <si>
    <t>Gitega</t>
  </si>
  <si>
    <t>Nyarubanda</t>
  </si>
  <si>
    <t>Kigoma - Ujiji</t>
  </si>
  <si>
    <t>Kigoma</t>
  </si>
  <si>
    <t>Uvinza</t>
  </si>
  <si>
    <t>Pass (1707 m)</t>
  </si>
  <si>
    <t>Mpandule</t>
  </si>
  <si>
    <t>Mpanda</t>
  </si>
  <si>
    <t>Paramawe</t>
  </si>
  <si>
    <t>Namanyere</t>
  </si>
  <si>
    <t>Sumbawanga</t>
  </si>
  <si>
    <t>Laela</t>
  </si>
  <si>
    <t>Tunduma - Grenze TZA/ZAM</t>
  </si>
  <si>
    <t>Nakonde</t>
  </si>
  <si>
    <t>Kanyala - Grenze ZAM/MWI</t>
  </si>
  <si>
    <t>Chitipa</t>
  </si>
  <si>
    <t>Karonga</t>
  </si>
  <si>
    <t>Chilumba</t>
  </si>
  <si>
    <t>Chiweta Hills (1120 m)</t>
  </si>
  <si>
    <t>Mzokoto</t>
  </si>
  <si>
    <t>Mzuzu</t>
  </si>
  <si>
    <t>Chintheche - Kamphambale</t>
  </si>
  <si>
    <t>Ngala</t>
  </si>
  <si>
    <t>Nkhotakota</t>
  </si>
  <si>
    <t>Benga</t>
  </si>
  <si>
    <t>Salima</t>
  </si>
  <si>
    <t>Mua Mission</t>
  </si>
  <si>
    <t>Chingeni</t>
  </si>
  <si>
    <t>Zalewa</t>
  </si>
  <si>
    <t>Mwanza</t>
  </si>
  <si>
    <t>Grenze MWI/MOZ - Zobue</t>
  </si>
  <si>
    <t>Tete</t>
  </si>
  <si>
    <t>Grenze MOZ/ZIM</t>
  </si>
  <si>
    <t>Nyamapanda</t>
  </si>
  <si>
    <t>Mutoko</t>
  </si>
  <si>
    <t>Murehwa</t>
  </si>
  <si>
    <t>Harare</t>
  </si>
  <si>
    <t>Chegutu</t>
  </si>
  <si>
    <t>Kadoma</t>
  </si>
  <si>
    <t>Kwekwe</t>
  </si>
  <si>
    <t>Gweru</t>
  </si>
  <si>
    <t>Bulawayo</t>
  </si>
  <si>
    <t>Matobo National Park</t>
  </si>
  <si>
    <t>Maleme Dam Camp</t>
  </si>
  <si>
    <t>Matobo National Park - Figtree</t>
  </si>
  <si>
    <t>Plumtree</t>
  </si>
  <si>
    <t>Grenze ZIM/BWA - Francistown</t>
  </si>
  <si>
    <t>Tati Siding</t>
  </si>
  <si>
    <t>Serule</t>
  </si>
  <si>
    <t>Palapye</t>
  </si>
  <si>
    <t>Martin‘s Drift - Grenze BOT/ZAF - Groblersbrug</t>
  </si>
  <si>
    <t>Marnitz</t>
  </si>
  <si>
    <t>Mokopane</t>
  </si>
  <si>
    <t>Roedtan - Marble Hall</t>
  </si>
  <si>
    <t>Groblersdal</t>
  </si>
  <si>
    <t>Stoffberg</t>
  </si>
  <si>
    <t>eMakhazeni</t>
  </si>
  <si>
    <t>Carolina - Warburton</t>
  </si>
  <si>
    <t>eMbangweni</t>
  </si>
  <si>
    <t>Grenze ZAF/SWZ - Mbabane - Lobamba</t>
  </si>
  <si>
    <t>Manzini</t>
  </si>
  <si>
    <t>Siphofaneni</t>
  </si>
  <si>
    <t>Big Bend</t>
  </si>
  <si>
    <t>Lavumisa - Grenze SWZ/ZAF</t>
  </si>
  <si>
    <t>Mkuze</t>
  </si>
  <si>
    <t>Enqupheni</t>
  </si>
  <si>
    <t>Mtunzini</t>
  </si>
  <si>
    <t>Ballito</t>
  </si>
  <si>
    <t>La Mercy</t>
  </si>
  <si>
    <t>Underberg</t>
  </si>
  <si>
    <t>Sani Lodge</t>
  </si>
  <si>
    <t>Ixopo - Highflats - Park Rynie</t>
  </si>
  <si>
    <t>Scottburgh</t>
  </si>
  <si>
    <t>Durban</t>
  </si>
  <si>
    <t>Sani Top (2873 m = Grenze ZAF/LSO/ZAF) - Sani Lodge</t>
  </si>
  <si>
    <r>
      <t>Rutana - Kayogoro - </t>
    </r>
    <r>
      <rPr>
        <i/>
        <sz val="10"/>
        <color theme="1"/>
        <rFont val="Arial"/>
        <family val="2"/>
      </rPr>
      <t>(60 km Taxi)</t>
    </r>
    <r>
      <rPr>
        <sz val="10"/>
        <color theme="1"/>
        <rFont val="Arial"/>
        <family val="2"/>
      </rPr>
      <t> - Grenze BUR/TZA</t>
    </r>
  </si>
  <si>
    <r>
      <t>Sitalike - Katavi National Park </t>
    </r>
    <r>
      <rPr>
        <i/>
        <sz val="10"/>
        <color theme="1"/>
        <rFont val="Arial"/>
        <family val="2"/>
      </rPr>
      <t>(100 km Bus)</t>
    </r>
    <r>
      <rPr>
        <sz val="10"/>
        <color theme="1"/>
        <rFont val="Arial"/>
        <family val="2"/>
      </rPr>
      <t> - Lyazumbi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</si>
</sst>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h]:mm"/>
    <numFmt numFmtId="165" formatCode="0.0"/>
  </numFmts>
  <fonts count="13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9"/>
      <name val="WP CyrillicA"/>
    </font>
    <font>
      <i/>
      <sz val="10"/>
      <name val="Arial"/>
      <family val="2"/>
    </font>
    <font>
      <b/>
      <i/>
      <sz val="2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21" fontId="5" fillId="0" borderId="0" xfId="0" applyNumberFormat="1" applyFont="1" applyAlignment="1">
      <alignment vertical="top" wrapText="1"/>
    </xf>
    <xf numFmtId="0" fontId="0" fillId="0" borderId="2" xfId="0" applyBorder="1"/>
    <xf numFmtId="0" fontId="0" fillId="0" borderId="3" xfId="0" applyBorder="1"/>
    <xf numFmtId="0" fontId="8" fillId="0" borderId="3" xfId="0" applyFont="1" applyBorder="1"/>
    <xf numFmtId="0" fontId="8" fillId="0" borderId="4" xfId="0" applyFont="1" applyBorder="1"/>
    <xf numFmtId="0" fontId="0" fillId="0" borderId="5" xfId="0" applyBorder="1"/>
    <xf numFmtId="0" fontId="8" fillId="0" borderId="0" xfId="0" applyFont="1"/>
    <xf numFmtId="0" fontId="8" fillId="0" borderId="6" xfId="0" applyFont="1" applyBorder="1"/>
    <xf numFmtId="164" fontId="8" fillId="0" borderId="3" xfId="0" applyNumberFormat="1" applyFont="1" applyBorder="1"/>
    <xf numFmtId="164" fontId="8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165" fontId="0" fillId="0" borderId="3" xfId="0" applyNumberFormat="1" applyBorder="1"/>
    <xf numFmtId="165" fontId="0" fillId="0" borderId="0" xfId="0" applyNumberFormat="1"/>
    <xf numFmtId="1" fontId="1" fillId="0" borderId="1" xfId="0" applyNumberFormat="1" applyFont="1" applyBorder="1"/>
    <xf numFmtId="165" fontId="1" fillId="0" borderId="1" xfId="0" applyNumberFormat="1" applyFont="1" applyBorder="1"/>
    <xf numFmtId="164" fontId="0" fillId="0" borderId="3" xfId="0" applyNumberFormat="1" applyBorder="1"/>
    <xf numFmtId="164" fontId="0" fillId="0" borderId="0" xfId="0" applyNumberFormat="1"/>
    <xf numFmtId="165" fontId="1" fillId="0" borderId="0" xfId="0" applyNumberFormat="1" applyFont="1"/>
    <xf numFmtId="1" fontId="0" fillId="0" borderId="0" xfId="0" applyNumberFormat="1"/>
    <xf numFmtId="165" fontId="4" fillId="0" borderId="1" xfId="0" applyNumberFormat="1" applyFont="1" applyBorder="1"/>
    <xf numFmtId="165" fontId="8" fillId="0" borderId="0" xfId="0" applyNumberFormat="1" applyFont="1"/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right" vertical="center" wrapText="1"/>
    </xf>
    <xf numFmtId="164" fontId="4" fillId="0" borderId="0" xfId="0" applyNumberFormat="1" applyFont="1"/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" xfId="0" applyBorder="1"/>
    <xf numFmtId="0" fontId="4" fillId="0" borderId="0" xfId="0" applyFont="1"/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8" xfId="0" applyBorder="1"/>
    <xf numFmtId="0" fontId="9" fillId="0" borderId="7" xfId="0" applyFont="1" applyBorder="1"/>
    <xf numFmtId="0" fontId="3" fillId="0" borderId="8" xfId="0" applyFont="1" applyBorder="1"/>
    <xf numFmtId="0" fontId="3" fillId="0" borderId="9" xfId="0" applyFont="1" applyBorder="1"/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7E42CCDB-81B6-4A49-B496-3B423F3D09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98C4-7E23-4BFB-A07F-BCAD40BA4A49}">
  <sheetPr codeName="Tabelle1"/>
  <dimension ref="A1:AK58"/>
  <sheetViews>
    <sheetView tabSelected="1" topLeftCell="A3" zoomScaleNormal="100" workbookViewId="0">
      <selection activeCell="A9" sqref="A9"/>
    </sheetView>
  </sheetViews>
  <sheetFormatPr baseColWidth="10" defaultRowHeight="12.5"/>
  <cols>
    <col min="1" max="1" width="11.26953125" customWidth="1"/>
    <col min="2" max="2" width="15.26953125" customWidth="1"/>
    <col min="3" max="3" width="23.81640625" customWidth="1"/>
    <col min="4" max="4" width="60.26953125" customWidth="1"/>
    <col min="5" max="5" width="24.453125" customWidth="1"/>
    <col min="6" max="7" width="6.453125" customWidth="1"/>
    <col min="8" max="8" width="4.26953125" customWidth="1"/>
    <col min="9" max="9" width="3.7265625" customWidth="1"/>
    <col min="10" max="10" width="7.1796875" customWidth="1"/>
    <col min="11" max="11" width="6.54296875" customWidth="1"/>
    <col min="12" max="12" width="5.54296875" customWidth="1"/>
    <col min="13" max="13" width="5.453125" customWidth="1"/>
    <col min="14" max="14" width="6.54296875" customWidth="1"/>
    <col min="15" max="16" width="6.7265625" customWidth="1"/>
    <col min="17" max="17" width="6.54296875" customWidth="1"/>
    <col min="18" max="18" width="7.1796875" customWidth="1"/>
    <col min="19" max="20" width="6.1796875" customWidth="1"/>
    <col min="21" max="21" width="5.54296875" customWidth="1"/>
    <col min="22" max="22" width="4.81640625" customWidth="1"/>
    <col min="23" max="23" width="6.26953125" customWidth="1"/>
    <col min="24" max="24" width="5.81640625" customWidth="1"/>
    <col min="25" max="25" width="6.1796875" customWidth="1"/>
    <col min="26" max="26" width="5.7265625" customWidth="1"/>
    <col min="27" max="27" width="6.453125" customWidth="1"/>
    <col min="28" max="28" width="2.81640625" customWidth="1"/>
    <col min="29" max="29" width="4" customWidth="1"/>
    <col min="30" max="30" width="3.453125" customWidth="1"/>
    <col min="31" max="31" width="3.26953125" customWidth="1"/>
    <col min="32" max="33" width="3.1796875" customWidth="1"/>
    <col min="34" max="34" width="3.54296875" customWidth="1"/>
  </cols>
  <sheetData>
    <row r="1" spans="1:37" ht="26.25" customHeight="1">
      <c r="A1" s="48" t="s">
        <v>84</v>
      </c>
      <c r="B1" s="49"/>
      <c r="C1" s="49"/>
      <c r="D1" s="49"/>
      <c r="E1" s="49"/>
      <c r="F1" s="50"/>
      <c r="G1" s="52" t="s">
        <v>85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4"/>
    </row>
    <row r="2" spans="1:37">
      <c r="A2" s="51"/>
      <c r="B2" s="51"/>
      <c r="C2" s="51"/>
      <c r="D2" s="51"/>
      <c r="E2" s="51"/>
      <c r="F2" s="51"/>
      <c r="G2" s="5"/>
      <c r="H2" s="6"/>
      <c r="I2" s="6"/>
      <c r="J2" s="6"/>
      <c r="K2" s="6"/>
      <c r="L2" s="6"/>
      <c r="M2" s="6"/>
      <c r="N2" s="5"/>
      <c r="O2" s="5"/>
      <c r="P2" s="5"/>
      <c r="Q2" s="5"/>
      <c r="R2" s="9"/>
      <c r="S2" s="5"/>
      <c r="T2" s="5"/>
      <c r="U2" s="7"/>
      <c r="V2" s="7"/>
      <c r="W2" s="7"/>
      <c r="X2" s="8"/>
      <c r="Y2" s="7"/>
    </row>
    <row r="3" spans="1:37" ht="72.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2" t="s">
        <v>22</v>
      </c>
      <c r="G3" s="21" t="s">
        <v>26</v>
      </c>
      <c r="H3" s="21" t="s">
        <v>23</v>
      </c>
      <c r="I3" s="21" t="s">
        <v>24</v>
      </c>
      <c r="J3" s="21" t="s">
        <v>8</v>
      </c>
      <c r="K3" s="21" t="s">
        <v>32</v>
      </c>
      <c r="L3" s="21" t="s">
        <v>44</v>
      </c>
      <c r="M3" s="21" t="s">
        <v>25</v>
      </c>
      <c r="N3" s="21" t="s">
        <v>14</v>
      </c>
      <c r="O3" s="21" t="s">
        <v>33</v>
      </c>
      <c r="P3" s="21" t="s">
        <v>43</v>
      </c>
      <c r="Q3" s="21" t="s">
        <v>15</v>
      </c>
      <c r="R3" s="21" t="s">
        <v>34</v>
      </c>
      <c r="S3" s="21" t="s">
        <v>9</v>
      </c>
      <c r="T3" s="21" t="s">
        <v>10</v>
      </c>
      <c r="U3" s="21" t="s">
        <v>31</v>
      </c>
      <c r="V3" s="21" t="s">
        <v>12</v>
      </c>
      <c r="W3" s="21" t="s">
        <v>27</v>
      </c>
      <c r="X3" s="21" t="s">
        <v>13</v>
      </c>
      <c r="Y3" s="21" t="s">
        <v>29</v>
      </c>
      <c r="Z3" s="21" t="s">
        <v>30</v>
      </c>
      <c r="AA3" s="21" t="s">
        <v>11</v>
      </c>
      <c r="AB3" s="22" t="s">
        <v>18</v>
      </c>
      <c r="AC3" s="22" t="s">
        <v>19</v>
      </c>
      <c r="AD3" s="22" t="s">
        <v>20</v>
      </c>
      <c r="AE3" s="22" t="s">
        <v>21</v>
      </c>
      <c r="AF3" s="22" t="s">
        <v>17</v>
      </c>
      <c r="AG3" s="22" t="s">
        <v>16</v>
      </c>
      <c r="AH3" s="22" t="s">
        <v>28</v>
      </c>
    </row>
    <row r="4" spans="1:37" ht="13">
      <c r="A4" s="36" t="s">
        <v>66</v>
      </c>
      <c r="B4" s="37">
        <v>45997</v>
      </c>
      <c r="C4" s="40" t="s">
        <v>86</v>
      </c>
      <c r="D4" s="41" t="s">
        <v>87</v>
      </c>
      <c r="E4" s="42" t="s">
        <v>88</v>
      </c>
      <c r="F4" s="4">
        <v>54</v>
      </c>
      <c r="G4" s="10">
        <f>SUM(F4)</f>
        <v>54</v>
      </c>
      <c r="H4" s="11">
        <f>ROUND(PRODUCT(G4/1),0)</f>
        <v>54</v>
      </c>
      <c r="I4" s="11">
        <f>ROUND(PRODUCT(G4/COUNT(F4:F4)),0)</f>
        <v>54</v>
      </c>
      <c r="J4" s="29">
        <v>0.1361111111111111</v>
      </c>
      <c r="K4" s="17">
        <f>SUM(J4)</f>
        <v>0.1361111111111111</v>
      </c>
      <c r="L4" s="34">
        <f t="shared" ref="L4:L31" si="0">IF(F4=0,0,ROUND(PRODUCT(F4/SUM(HOUR(J4),PRODUCT(MINUTE(J4)/60))),1))</f>
        <v>16.5</v>
      </c>
      <c r="M4" s="25">
        <v>51</v>
      </c>
      <c r="N4" s="29">
        <v>0.14930555555555555</v>
      </c>
      <c r="O4" s="17">
        <f>SUM(N4)</f>
        <v>0.14930555555555555</v>
      </c>
      <c r="P4" s="34">
        <f t="shared" ref="P4:P31" si="1">IF(F4=0,0,ROUND(PRODUCT(F4/SUM(HOUR(N4),PRODUCT(MINUTE(N4)/60))),1))</f>
        <v>15.1</v>
      </c>
      <c r="Q4" s="17">
        <f t="shared" ref="Q4:Q31" si="2">SUM(N4,-J4)</f>
        <v>1.3194444444444453E-2</v>
      </c>
      <c r="R4" s="17">
        <f>SUM(Q4)</f>
        <v>1.3194444444444453E-2</v>
      </c>
      <c r="S4" s="11">
        <v>1490</v>
      </c>
      <c r="T4" s="11">
        <v>1641</v>
      </c>
      <c r="U4" s="12">
        <f>SUM(-S4,T4)</f>
        <v>151</v>
      </c>
      <c r="V4" s="11">
        <v>635</v>
      </c>
      <c r="W4" s="12">
        <f>SUM(V4)</f>
        <v>635</v>
      </c>
      <c r="X4" s="11">
        <f t="shared" ref="X4:X31" si="3">SUM(S4,-T4,V4)</f>
        <v>484</v>
      </c>
      <c r="Y4" s="12">
        <f>SUM(X4)</f>
        <v>484</v>
      </c>
      <c r="Z4" s="12">
        <f t="shared" ref="Z4:Z31" si="4">SUM(V4,-X4)</f>
        <v>151</v>
      </c>
      <c r="AA4" s="11">
        <v>1641</v>
      </c>
      <c r="AB4">
        <v>3</v>
      </c>
      <c r="AC4" s="11">
        <v>10</v>
      </c>
      <c r="AD4" s="11"/>
      <c r="AE4" s="11"/>
      <c r="AF4">
        <v>30</v>
      </c>
      <c r="AG4" s="11">
        <v>34</v>
      </c>
      <c r="AH4" s="13">
        <f>SUM(AG4,-AF4)</f>
        <v>4</v>
      </c>
      <c r="AK4" s="26"/>
    </row>
    <row r="5" spans="1:37" ht="13">
      <c r="A5" s="36" t="s">
        <v>67</v>
      </c>
      <c r="B5" s="37">
        <v>45998</v>
      </c>
      <c r="C5" s="40" t="s">
        <v>88</v>
      </c>
      <c r="D5" s="41" t="s">
        <v>89</v>
      </c>
      <c r="E5" s="42" t="s">
        <v>90</v>
      </c>
      <c r="F5" s="46">
        <v>111</v>
      </c>
      <c r="G5" s="14">
        <f>SUM(G4,F5)</f>
        <v>165</v>
      </c>
      <c r="H5">
        <f>ROUND(PRODUCT(G5/2),0)</f>
        <v>83</v>
      </c>
      <c r="I5">
        <f>ROUND(PRODUCT(G5/COUNT(F4:F5)),0)</f>
        <v>83</v>
      </c>
      <c r="J5" s="30">
        <v>0.28541666666666665</v>
      </c>
      <c r="K5" s="18">
        <f t="shared" ref="K5:K31" si="5">SUM(J5,K4)</f>
        <v>0.42152777777777772</v>
      </c>
      <c r="L5" s="34">
        <f t="shared" si="0"/>
        <v>16.2</v>
      </c>
      <c r="M5" s="26">
        <v>53</v>
      </c>
      <c r="N5" s="30">
        <v>0.39583333333333331</v>
      </c>
      <c r="O5" s="18">
        <f t="shared" ref="O5:O31" si="6">SUM(N5,O4)</f>
        <v>0.54513888888888884</v>
      </c>
      <c r="P5" s="34">
        <f t="shared" si="1"/>
        <v>11.7</v>
      </c>
      <c r="Q5" s="18">
        <f t="shared" si="2"/>
        <v>0.11041666666666666</v>
      </c>
      <c r="R5" s="18">
        <f>SUM(Q5,R4)</f>
        <v>0.12361111111111112</v>
      </c>
      <c r="S5">
        <v>1641</v>
      </c>
      <c r="T5">
        <v>1520</v>
      </c>
      <c r="U5" s="15">
        <f>SUM(-S5,T5)</f>
        <v>-121</v>
      </c>
      <c r="V5">
        <v>1390</v>
      </c>
      <c r="W5" s="15">
        <f t="shared" ref="W5:W31" si="7">SUM(W4,V5)</f>
        <v>2025</v>
      </c>
      <c r="X5">
        <f t="shared" si="3"/>
        <v>1511</v>
      </c>
      <c r="Y5" s="15">
        <f>SUM(Y4,X5)</f>
        <v>1995</v>
      </c>
      <c r="Z5" s="15">
        <f t="shared" si="4"/>
        <v>-121</v>
      </c>
      <c r="AA5">
        <v>1690</v>
      </c>
      <c r="AB5">
        <v>3</v>
      </c>
      <c r="AC5">
        <v>14</v>
      </c>
      <c r="AE5" s="15"/>
      <c r="AF5">
        <v>22</v>
      </c>
      <c r="AG5">
        <v>34</v>
      </c>
      <c r="AH5" s="16">
        <f>SUM(AG5,-AF5)</f>
        <v>12</v>
      </c>
      <c r="AK5" s="26"/>
    </row>
    <row r="6" spans="1:37" ht="13">
      <c r="A6" s="36" t="s">
        <v>68</v>
      </c>
      <c r="B6" s="37">
        <v>45999</v>
      </c>
      <c r="C6" s="40" t="s">
        <v>90</v>
      </c>
      <c r="D6" s="41" t="s">
        <v>91</v>
      </c>
      <c r="E6" s="42" t="s">
        <v>92</v>
      </c>
      <c r="F6" s="46">
        <v>84</v>
      </c>
      <c r="G6" s="14">
        <f t="shared" ref="G6:G31" si="8">SUM(G5,F6)</f>
        <v>249</v>
      </c>
      <c r="H6">
        <f>ROUND(PRODUCT(G6/3),0)</f>
        <v>83</v>
      </c>
      <c r="I6">
        <f>ROUND(PRODUCT(G6/COUNT(F4:F6)),0)</f>
        <v>83</v>
      </c>
      <c r="J6" s="30">
        <v>0.25694444444444442</v>
      </c>
      <c r="K6" s="18">
        <f t="shared" si="5"/>
        <v>0.67847222222222214</v>
      </c>
      <c r="L6" s="34">
        <f t="shared" si="0"/>
        <v>13.6</v>
      </c>
      <c r="M6" s="26">
        <v>53.5</v>
      </c>
      <c r="N6" s="30">
        <v>0.375</v>
      </c>
      <c r="O6" s="18">
        <f t="shared" si="6"/>
        <v>0.92013888888888884</v>
      </c>
      <c r="P6" s="34">
        <f t="shared" si="1"/>
        <v>9.3000000000000007</v>
      </c>
      <c r="Q6" s="18">
        <f t="shared" si="2"/>
        <v>0.11805555555555558</v>
      </c>
      <c r="R6" s="18">
        <f t="shared" ref="R6:R31" si="9">SUM(Q6,R5)</f>
        <v>0.2416666666666667</v>
      </c>
      <c r="S6">
        <v>1520</v>
      </c>
      <c r="T6">
        <v>1753</v>
      </c>
      <c r="U6" s="15">
        <f t="shared" ref="U6:U31" si="10">SUM(-S6,T6)</f>
        <v>233</v>
      </c>
      <c r="V6">
        <v>1301</v>
      </c>
      <c r="W6" s="15">
        <f t="shared" si="7"/>
        <v>3326</v>
      </c>
      <c r="X6">
        <f t="shared" si="3"/>
        <v>1068</v>
      </c>
      <c r="Y6" s="15">
        <f t="shared" ref="Y6:Y31" si="11">SUM(Y5,X6)</f>
        <v>3063</v>
      </c>
      <c r="Z6" s="15">
        <f t="shared" si="4"/>
        <v>233</v>
      </c>
      <c r="AA6">
        <v>1840</v>
      </c>
      <c r="AB6">
        <v>4</v>
      </c>
      <c r="AC6">
        <v>13</v>
      </c>
      <c r="AE6" s="15"/>
      <c r="AF6">
        <v>21</v>
      </c>
      <c r="AG6">
        <v>34</v>
      </c>
      <c r="AH6" s="16">
        <f t="shared" ref="AH6:AH31" si="12">SUM(AG6,-AF6)</f>
        <v>13</v>
      </c>
      <c r="AK6" s="26"/>
    </row>
    <row r="7" spans="1:37" ht="13">
      <c r="A7" s="36" t="s">
        <v>69</v>
      </c>
      <c r="B7" s="37">
        <v>46000</v>
      </c>
      <c r="C7" s="40" t="s">
        <v>92</v>
      </c>
      <c r="D7" s="41"/>
      <c r="E7" s="42" t="s">
        <v>93</v>
      </c>
      <c r="F7" s="46">
        <v>98</v>
      </c>
      <c r="G7" s="14">
        <f t="shared" si="8"/>
        <v>347</v>
      </c>
      <c r="H7">
        <f>ROUND(PRODUCT(G7/4),0)</f>
        <v>87</v>
      </c>
      <c r="I7">
        <f>ROUND(PRODUCT(G7/COUNT(F4:F7)),0)</f>
        <v>87</v>
      </c>
      <c r="J7" s="30">
        <v>0.25694444444444442</v>
      </c>
      <c r="K7" s="18">
        <f t="shared" si="5"/>
        <v>0.93541666666666656</v>
      </c>
      <c r="L7" s="34">
        <f t="shared" si="0"/>
        <v>15.9</v>
      </c>
      <c r="M7" s="26">
        <v>52.5</v>
      </c>
      <c r="N7" s="30">
        <v>0.39166666666666666</v>
      </c>
      <c r="O7" s="18">
        <f t="shared" si="6"/>
        <v>1.3118055555555554</v>
      </c>
      <c r="P7" s="34">
        <f t="shared" si="1"/>
        <v>10.4</v>
      </c>
      <c r="Q7" s="18">
        <f t="shared" si="2"/>
        <v>0.13472222222222224</v>
      </c>
      <c r="R7" s="18">
        <f t="shared" si="9"/>
        <v>0.37638888888888894</v>
      </c>
      <c r="S7">
        <v>1753</v>
      </c>
      <c r="T7">
        <v>1689</v>
      </c>
      <c r="U7" s="15">
        <f t="shared" si="10"/>
        <v>-64</v>
      </c>
      <c r="V7">
        <v>1317</v>
      </c>
      <c r="W7" s="15">
        <f t="shared" si="7"/>
        <v>4643</v>
      </c>
      <c r="X7">
        <f t="shared" si="3"/>
        <v>1381</v>
      </c>
      <c r="Y7" s="15">
        <f t="shared" si="11"/>
        <v>4444</v>
      </c>
      <c r="Z7" s="15">
        <f t="shared" si="4"/>
        <v>-64</v>
      </c>
      <c r="AA7">
        <v>1780</v>
      </c>
      <c r="AB7">
        <v>3</v>
      </c>
      <c r="AC7">
        <v>9</v>
      </c>
      <c r="AE7" s="15"/>
      <c r="AF7">
        <v>19</v>
      </c>
      <c r="AG7">
        <v>30</v>
      </c>
      <c r="AH7" s="16">
        <f t="shared" si="12"/>
        <v>11</v>
      </c>
      <c r="AK7" s="26"/>
    </row>
    <row r="8" spans="1:37" ht="13">
      <c r="A8" s="36" t="s">
        <v>70</v>
      </c>
      <c r="B8" s="37">
        <v>46001</v>
      </c>
      <c r="C8" s="40" t="s">
        <v>93</v>
      </c>
      <c r="D8" s="41" t="s">
        <v>168</v>
      </c>
      <c r="E8" s="42" t="s">
        <v>94</v>
      </c>
      <c r="F8" s="46">
        <v>106</v>
      </c>
      <c r="G8" s="14">
        <f t="shared" si="8"/>
        <v>453</v>
      </c>
      <c r="H8">
        <f>ROUND(PRODUCT(G8/5),0)</f>
        <v>91</v>
      </c>
      <c r="I8">
        <f>ROUND(PRODUCT(G8/COUNT(F4:F8)),0)</f>
        <v>91</v>
      </c>
      <c r="J8" s="30">
        <v>0.30625000000000002</v>
      </c>
      <c r="K8" s="18">
        <f t="shared" si="5"/>
        <v>1.2416666666666667</v>
      </c>
      <c r="L8" s="34">
        <f t="shared" si="0"/>
        <v>14.4</v>
      </c>
      <c r="M8" s="26">
        <v>54</v>
      </c>
      <c r="N8" s="30">
        <v>0.45833333333333331</v>
      </c>
      <c r="O8" s="18">
        <f t="shared" si="6"/>
        <v>1.7701388888888887</v>
      </c>
      <c r="P8" s="34">
        <f t="shared" si="1"/>
        <v>9.6</v>
      </c>
      <c r="Q8" s="18">
        <f t="shared" si="2"/>
        <v>0.15208333333333329</v>
      </c>
      <c r="R8" s="18">
        <f t="shared" si="9"/>
        <v>0.52847222222222223</v>
      </c>
      <c r="S8">
        <v>1689</v>
      </c>
      <c r="T8">
        <v>1765</v>
      </c>
      <c r="U8" s="15">
        <f t="shared" si="10"/>
        <v>76</v>
      </c>
      <c r="V8">
        <v>1438</v>
      </c>
      <c r="W8" s="15">
        <f t="shared" si="7"/>
        <v>6081</v>
      </c>
      <c r="X8">
        <f t="shared" si="3"/>
        <v>1362</v>
      </c>
      <c r="Y8" s="15">
        <f t="shared" si="11"/>
        <v>5806</v>
      </c>
      <c r="Z8" s="15">
        <f t="shared" si="4"/>
        <v>76</v>
      </c>
      <c r="AA8">
        <v>1765</v>
      </c>
      <c r="AB8">
        <v>3</v>
      </c>
      <c r="AC8">
        <v>10</v>
      </c>
      <c r="AE8" s="15"/>
      <c r="AF8">
        <v>16</v>
      </c>
      <c r="AG8">
        <v>34</v>
      </c>
      <c r="AH8" s="16">
        <f t="shared" si="12"/>
        <v>18</v>
      </c>
      <c r="AK8" s="26"/>
    </row>
    <row r="9" spans="1:37" ht="13">
      <c r="A9" s="36" t="s">
        <v>71</v>
      </c>
      <c r="B9" s="37">
        <v>46002</v>
      </c>
      <c r="C9" s="40" t="s">
        <v>94</v>
      </c>
      <c r="D9" s="41" t="s">
        <v>95</v>
      </c>
      <c r="E9" s="42" t="s">
        <v>96</v>
      </c>
      <c r="F9" s="46">
        <v>95</v>
      </c>
      <c r="G9" s="14">
        <f t="shared" si="8"/>
        <v>548</v>
      </c>
      <c r="H9">
        <f>ROUND(PRODUCT(G9/6),0)</f>
        <v>91</v>
      </c>
      <c r="I9">
        <f>ROUND(PRODUCT(G9/COUNT(F4:F9)),0)</f>
        <v>91</v>
      </c>
      <c r="J9" s="30">
        <v>0.20347222222222222</v>
      </c>
      <c r="K9" s="18">
        <f t="shared" si="5"/>
        <v>1.445138888888889</v>
      </c>
      <c r="L9" s="34">
        <f t="shared" si="0"/>
        <v>19.5</v>
      </c>
      <c r="M9" s="26">
        <v>53.5</v>
      </c>
      <c r="N9" s="30">
        <v>0.375</v>
      </c>
      <c r="O9" s="18">
        <f t="shared" si="6"/>
        <v>2.1451388888888889</v>
      </c>
      <c r="P9" s="34">
        <f t="shared" si="1"/>
        <v>10.6</v>
      </c>
      <c r="Q9" s="18">
        <f t="shared" si="2"/>
        <v>0.17152777777777778</v>
      </c>
      <c r="R9" s="18">
        <f t="shared" si="9"/>
        <v>0.7</v>
      </c>
      <c r="S9">
        <v>1765</v>
      </c>
      <c r="T9">
        <v>865</v>
      </c>
      <c r="U9" s="15">
        <f t="shared" si="10"/>
        <v>-900</v>
      </c>
      <c r="V9">
        <v>770</v>
      </c>
      <c r="W9" s="15">
        <f t="shared" si="7"/>
        <v>6851</v>
      </c>
      <c r="X9">
        <f t="shared" si="3"/>
        <v>1670</v>
      </c>
      <c r="Y9" s="15">
        <f t="shared" si="11"/>
        <v>7476</v>
      </c>
      <c r="Z9" s="15">
        <f t="shared" si="4"/>
        <v>-900</v>
      </c>
      <c r="AA9">
        <v>1765</v>
      </c>
      <c r="AB9">
        <v>3</v>
      </c>
      <c r="AC9">
        <v>10</v>
      </c>
      <c r="AE9" s="15"/>
      <c r="AF9">
        <v>18</v>
      </c>
      <c r="AG9">
        <v>24</v>
      </c>
      <c r="AH9" s="16">
        <f t="shared" si="12"/>
        <v>6</v>
      </c>
      <c r="AK9" s="26"/>
    </row>
    <row r="10" spans="1:37" ht="13">
      <c r="A10" s="36" t="s">
        <v>72</v>
      </c>
      <c r="B10" s="37">
        <v>46003</v>
      </c>
      <c r="C10" s="40" t="s">
        <v>96</v>
      </c>
      <c r="D10" s="41"/>
      <c r="E10" s="42" t="s">
        <v>97</v>
      </c>
      <c r="F10" s="46">
        <v>106</v>
      </c>
      <c r="G10" s="14">
        <f t="shared" si="8"/>
        <v>654</v>
      </c>
      <c r="H10">
        <f>ROUND(PRODUCT(G10/7),0)</f>
        <v>93</v>
      </c>
      <c r="I10">
        <f>ROUND(PRODUCT(G10/COUNT(F4:F10)),0)</f>
        <v>93</v>
      </c>
      <c r="J10" s="30">
        <v>0.24513888888888888</v>
      </c>
      <c r="K10" s="18">
        <f t="shared" si="5"/>
        <v>1.6902777777777778</v>
      </c>
      <c r="L10" s="34">
        <f t="shared" si="0"/>
        <v>18</v>
      </c>
      <c r="M10" s="26">
        <v>59</v>
      </c>
      <c r="N10" s="30">
        <v>0.27083333333333331</v>
      </c>
      <c r="O10" s="18">
        <f t="shared" si="6"/>
        <v>2.4159722222222224</v>
      </c>
      <c r="P10" s="34">
        <f t="shared" si="1"/>
        <v>16.3</v>
      </c>
      <c r="Q10" s="18">
        <f t="shared" si="2"/>
        <v>2.5694444444444436E-2</v>
      </c>
      <c r="R10" s="18">
        <f t="shared" si="9"/>
        <v>0.72569444444444442</v>
      </c>
      <c r="S10">
        <v>865</v>
      </c>
      <c r="T10">
        <v>990</v>
      </c>
      <c r="U10" s="15">
        <f t="shared" si="10"/>
        <v>125</v>
      </c>
      <c r="V10">
        <v>996</v>
      </c>
      <c r="W10" s="15">
        <f t="shared" si="7"/>
        <v>7847</v>
      </c>
      <c r="X10">
        <f t="shared" si="3"/>
        <v>871</v>
      </c>
      <c r="Y10" s="15">
        <f t="shared" si="11"/>
        <v>8347</v>
      </c>
      <c r="Z10" s="15">
        <f t="shared" si="4"/>
        <v>125</v>
      </c>
      <c r="AA10">
        <v>1761</v>
      </c>
      <c r="AB10">
        <v>2</v>
      </c>
      <c r="AC10">
        <v>9</v>
      </c>
      <c r="AE10" s="15"/>
      <c r="AF10">
        <v>22</v>
      </c>
      <c r="AG10">
        <v>30</v>
      </c>
      <c r="AH10" s="16">
        <f t="shared" si="12"/>
        <v>8</v>
      </c>
      <c r="AK10" s="26"/>
    </row>
    <row r="11" spans="1:37" ht="13">
      <c r="A11" s="35" t="s">
        <v>73</v>
      </c>
      <c r="B11" s="37">
        <v>46004</v>
      </c>
      <c r="C11" s="40" t="s">
        <v>97</v>
      </c>
      <c r="D11" s="41" t="s">
        <v>98</v>
      </c>
      <c r="E11" s="42" t="s">
        <v>99</v>
      </c>
      <c r="F11" s="46">
        <v>104</v>
      </c>
      <c r="G11" s="14">
        <f t="shared" si="8"/>
        <v>758</v>
      </c>
      <c r="H11">
        <f>ROUND(PRODUCT(G11/8),0)</f>
        <v>95</v>
      </c>
      <c r="I11">
        <f>ROUND(PRODUCT(G11/COUNT(F4:F11)),0)</f>
        <v>95</v>
      </c>
      <c r="J11" s="30">
        <v>0.32500000000000001</v>
      </c>
      <c r="K11" s="18">
        <f t="shared" si="5"/>
        <v>2.0152777777777779</v>
      </c>
      <c r="L11" s="34">
        <f t="shared" si="0"/>
        <v>13.3</v>
      </c>
      <c r="M11" s="26">
        <v>43.5</v>
      </c>
      <c r="N11" s="30">
        <v>0.5</v>
      </c>
      <c r="O11" s="18">
        <f t="shared" si="6"/>
        <v>2.9159722222222224</v>
      </c>
      <c r="P11" s="34">
        <f t="shared" si="1"/>
        <v>8.6999999999999993</v>
      </c>
      <c r="Q11" s="18">
        <f t="shared" si="2"/>
        <v>0.17499999999999999</v>
      </c>
      <c r="R11" s="18">
        <f t="shared" si="9"/>
        <v>0.90069444444444446</v>
      </c>
      <c r="S11">
        <v>990</v>
      </c>
      <c r="T11">
        <v>1425</v>
      </c>
      <c r="U11" s="15">
        <f t="shared" si="10"/>
        <v>435</v>
      </c>
      <c r="V11">
        <v>1178</v>
      </c>
      <c r="W11" s="15">
        <f t="shared" si="7"/>
        <v>9025</v>
      </c>
      <c r="X11">
        <f t="shared" si="3"/>
        <v>743</v>
      </c>
      <c r="Y11" s="15">
        <f t="shared" si="11"/>
        <v>9090</v>
      </c>
      <c r="Z11" s="15">
        <f t="shared" si="4"/>
        <v>435</v>
      </c>
      <c r="AA11">
        <v>1707</v>
      </c>
      <c r="AB11">
        <v>2</v>
      </c>
      <c r="AC11">
        <v>10</v>
      </c>
      <c r="AE11" s="15"/>
      <c r="AF11">
        <v>19</v>
      </c>
      <c r="AG11">
        <v>30</v>
      </c>
      <c r="AH11" s="16">
        <f t="shared" si="12"/>
        <v>11</v>
      </c>
      <c r="AK11" s="26"/>
    </row>
    <row r="12" spans="1:37" ht="13">
      <c r="A12" s="35" t="s">
        <v>74</v>
      </c>
      <c r="B12" s="37">
        <v>46005</v>
      </c>
      <c r="C12" s="40" t="s">
        <v>99</v>
      </c>
      <c r="D12" s="41"/>
      <c r="E12" s="42" t="s">
        <v>100</v>
      </c>
      <c r="F12" s="46">
        <v>94</v>
      </c>
      <c r="G12" s="14">
        <f t="shared" si="8"/>
        <v>852</v>
      </c>
      <c r="H12">
        <f>ROUND(PRODUCT(G12/9),0)</f>
        <v>95</v>
      </c>
      <c r="I12">
        <f>ROUND(PRODUCT(G12/COUNT(F4:F12)),0)</f>
        <v>95</v>
      </c>
      <c r="J12" s="30">
        <v>0.2388888888888889</v>
      </c>
      <c r="K12" s="18">
        <f t="shared" si="5"/>
        <v>2.2541666666666669</v>
      </c>
      <c r="L12" s="34">
        <f t="shared" si="0"/>
        <v>16.399999999999999</v>
      </c>
      <c r="M12" s="26">
        <v>40.5</v>
      </c>
      <c r="N12" s="30">
        <v>0.34375</v>
      </c>
      <c r="O12" s="18">
        <f t="shared" si="6"/>
        <v>3.2597222222222224</v>
      </c>
      <c r="P12" s="34">
        <f t="shared" si="1"/>
        <v>11.4</v>
      </c>
      <c r="Q12" s="18">
        <f t="shared" si="2"/>
        <v>0.1048611111111111</v>
      </c>
      <c r="R12" s="18">
        <f t="shared" si="9"/>
        <v>1.0055555555555555</v>
      </c>
      <c r="S12">
        <v>1425</v>
      </c>
      <c r="T12">
        <v>1090</v>
      </c>
      <c r="U12" s="15">
        <f t="shared" si="10"/>
        <v>-335</v>
      </c>
      <c r="V12">
        <v>726</v>
      </c>
      <c r="W12" s="15">
        <f t="shared" si="7"/>
        <v>9751</v>
      </c>
      <c r="X12">
        <f t="shared" si="3"/>
        <v>1061</v>
      </c>
      <c r="Y12" s="15">
        <f t="shared" si="11"/>
        <v>10151</v>
      </c>
      <c r="Z12" s="15">
        <f t="shared" si="4"/>
        <v>-335</v>
      </c>
      <c r="AA12">
        <v>1425</v>
      </c>
      <c r="AB12">
        <v>2</v>
      </c>
      <c r="AC12">
        <v>12</v>
      </c>
      <c r="AE12" s="15"/>
      <c r="AF12">
        <v>18</v>
      </c>
      <c r="AG12">
        <v>27</v>
      </c>
      <c r="AH12" s="16">
        <f t="shared" si="12"/>
        <v>9</v>
      </c>
      <c r="AK12" s="26"/>
    </row>
    <row r="13" spans="1:37" ht="13">
      <c r="A13" s="35" t="s">
        <v>5</v>
      </c>
      <c r="B13" s="37">
        <v>46006</v>
      </c>
      <c r="C13" s="40" t="s">
        <v>100</v>
      </c>
      <c r="D13" s="41" t="s">
        <v>169</v>
      </c>
      <c r="E13" s="42" t="s">
        <v>101</v>
      </c>
      <c r="F13" s="46">
        <v>47</v>
      </c>
      <c r="G13" s="14">
        <f t="shared" si="8"/>
        <v>899</v>
      </c>
      <c r="H13">
        <f>ROUND(PRODUCT(G13/10),0)</f>
        <v>90</v>
      </c>
      <c r="I13">
        <f>ROUND(PRODUCT(G13/COUNT(F4:F13)),0)</f>
        <v>90</v>
      </c>
      <c r="J13" s="30">
        <v>0.12569444444444444</v>
      </c>
      <c r="K13" s="18">
        <f t="shared" si="5"/>
        <v>2.3798611111111114</v>
      </c>
      <c r="L13" s="34">
        <f t="shared" si="0"/>
        <v>15.6</v>
      </c>
      <c r="M13" s="26">
        <v>36</v>
      </c>
      <c r="N13" s="30">
        <v>0.33333333333333331</v>
      </c>
      <c r="O13" s="18">
        <f t="shared" si="6"/>
        <v>3.5930555555555559</v>
      </c>
      <c r="P13" s="34">
        <f t="shared" si="1"/>
        <v>5.9</v>
      </c>
      <c r="Q13" s="18">
        <f t="shared" si="2"/>
        <v>0.20763888888888887</v>
      </c>
      <c r="R13" s="18">
        <f t="shared" si="9"/>
        <v>1.2131944444444445</v>
      </c>
      <c r="S13">
        <v>1090</v>
      </c>
      <c r="T13">
        <v>1506</v>
      </c>
      <c r="U13" s="15">
        <f t="shared" si="10"/>
        <v>416</v>
      </c>
      <c r="V13">
        <v>364</v>
      </c>
      <c r="W13" s="15">
        <f t="shared" si="7"/>
        <v>10115</v>
      </c>
      <c r="X13">
        <f t="shared" si="3"/>
        <v>-52</v>
      </c>
      <c r="Y13" s="15">
        <f t="shared" si="11"/>
        <v>10099</v>
      </c>
      <c r="Z13" s="15">
        <f t="shared" si="4"/>
        <v>416</v>
      </c>
      <c r="AA13">
        <v>1330</v>
      </c>
      <c r="AB13">
        <v>2</v>
      </c>
      <c r="AC13">
        <v>8</v>
      </c>
      <c r="AE13" s="15"/>
      <c r="AF13">
        <v>24</v>
      </c>
      <c r="AG13">
        <v>28</v>
      </c>
      <c r="AH13" s="16">
        <f t="shared" si="12"/>
        <v>4</v>
      </c>
      <c r="AK13" s="26"/>
    </row>
    <row r="14" spans="1:37" ht="13">
      <c r="A14" s="35" t="s">
        <v>7</v>
      </c>
      <c r="B14" s="37">
        <v>46007</v>
      </c>
      <c r="C14" s="40" t="s">
        <v>101</v>
      </c>
      <c r="D14" s="41" t="s">
        <v>102</v>
      </c>
      <c r="E14" s="42" t="s">
        <v>103</v>
      </c>
      <c r="F14" s="46">
        <v>116</v>
      </c>
      <c r="G14" s="14">
        <f t="shared" si="8"/>
        <v>1015</v>
      </c>
      <c r="H14">
        <f>ROUND(PRODUCT(G14/11),0)</f>
        <v>92</v>
      </c>
      <c r="I14">
        <f>ROUND(PRODUCT(G14/COUNT(F4:F14)),0)</f>
        <v>92</v>
      </c>
      <c r="J14" s="30">
        <v>0.31111111111111112</v>
      </c>
      <c r="K14" s="18">
        <f t="shared" si="5"/>
        <v>2.6909722222222223</v>
      </c>
      <c r="L14" s="34">
        <f t="shared" si="0"/>
        <v>15.5</v>
      </c>
      <c r="M14" s="26">
        <v>44</v>
      </c>
      <c r="N14" s="30">
        <v>0.375</v>
      </c>
      <c r="O14" s="18">
        <f t="shared" si="6"/>
        <v>3.9680555555555559</v>
      </c>
      <c r="P14" s="34">
        <f t="shared" si="1"/>
        <v>12.9</v>
      </c>
      <c r="Q14" s="18">
        <f t="shared" si="2"/>
        <v>6.3888888888888884E-2</v>
      </c>
      <c r="R14" s="18">
        <f t="shared" si="9"/>
        <v>1.2770833333333333</v>
      </c>
      <c r="S14">
        <v>1506</v>
      </c>
      <c r="T14">
        <v>1860</v>
      </c>
      <c r="U14" s="15">
        <f t="shared" si="10"/>
        <v>354</v>
      </c>
      <c r="V14">
        <v>1247</v>
      </c>
      <c r="W14" s="15">
        <f t="shared" si="7"/>
        <v>11362</v>
      </c>
      <c r="X14">
        <f t="shared" si="3"/>
        <v>893</v>
      </c>
      <c r="Y14" s="15">
        <f t="shared" si="11"/>
        <v>10992</v>
      </c>
      <c r="Z14" s="15">
        <f t="shared" si="4"/>
        <v>354</v>
      </c>
      <c r="AA14">
        <v>1940</v>
      </c>
      <c r="AB14">
        <v>2</v>
      </c>
      <c r="AC14">
        <v>7</v>
      </c>
      <c r="AE14" s="15"/>
      <c r="AF14">
        <v>22</v>
      </c>
      <c r="AG14">
        <v>33</v>
      </c>
      <c r="AH14" s="16">
        <f t="shared" si="12"/>
        <v>11</v>
      </c>
      <c r="AK14" s="26"/>
    </row>
    <row r="15" spans="1:37" ht="13">
      <c r="A15" s="35" t="s">
        <v>35</v>
      </c>
      <c r="B15" s="37">
        <v>46008</v>
      </c>
      <c r="C15" s="40" t="s">
        <v>103</v>
      </c>
      <c r="D15" s="41"/>
      <c r="E15" s="42" t="s">
        <v>104</v>
      </c>
      <c r="F15" s="46">
        <v>97</v>
      </c>
      <c r="G15" s="14">
        <f t="shared" si="8"/>
        <v>1112</v>
      </c>
      <c r="H15">
        <f>ROUND(PRODUCT(G15/12),0)</f>
        <v>93</v>
      </c>
      <c r="I15">
        <f>ROUND(PRODUCT(G15/COUNT(F4:F15)),0)</f>
        <v>93</v>
      </c>
      <c r="J15" s="39">
        <v>0.22777777777777777</v>
      </c>
      <c r="K15" s="18">
        <f t="shared" si="5"/>
        <v>2.9187500000000002</v>
      </c>
      <c r="L15" s="34">
        <f t="shared" si="0"/>
        <v>17.7</v>
      </c>
      <c r="M15" s="26">
        <v>51.5</v>
      </c>
      <c r="N15" s="30">
        <v>0.29166666666666669</v>
      </c>
      <c r="O15" s="18">
        <f t="shared" si="6"/>
        <v>4.2597222222222229</v>
      </c>
      <c r="P15" s="34">
        <f t="shared" si="1"/>
        <v>13.9</v>
      </c>
      <c r="Q15" s="18">
        <f t="shared" si="2"/>
        <v>6.3888888888888912E-2</v>
      </c>
      <c r="R15" s="18">
        <f t="shared" si="9"/>
        <v>1.3409722222222222</v>
      </c>
      <c r="S15">
        <v>1860</v>
      </c>
      <c r="T15">
        <v>1560</v>
      </c>
      <c r="U15" s="15">
        <f t="shared" si="10"/>
        <v>-300</v>
      </c>
      <c r="V15">
        <v>841</v>
      </c>
      <c r="W15" s="15">
        <f t="shared" si="7"/>
        <v>12203</v>
      </c>
      <c r="X15">
        <f t="shared" si="3"/>
        <v>1141</v>
      </c>
      <c r="Y15" s="15">
        <f t="shared" si="11"/>
        <v>12133</v>
      </c>
      <c r="Z15" s="15">
        <f t="shared" si="4"/>
        <v>-300</v>
      </c>
      <c r="AA15">
        <v>1930</v>
      </c>
      <c r="AB15">
        <v>2</v>
      </c>
      <c r="AC15">
        <v>6</v>
      </c>
      <c r="AE15" s="15"/>
      <c r="AF15">
        <v>21</v>
      </c>
      <c r="AG15">
        <v>30</v>
      </c>
      <c r="AH15" s="16">
        <f t="shared" si="12"/>
        <v>9</v>
      </c>
      <c r="AK15" s="26"/>
    </row>
    <row r="16" spans="1:37" ht="13">
      <c r="A16" s="35" t="s">
        <v>36</v>
      </c>
      <c r="B16" s="37">
        <v>46009</v>
      </c>
      <c r="C16" s="40" t="s">
        <v>104</v>
      </c>
      <c r="D16" s="41" t="s">
        <v>105</v>
      </c>
      <c r="E16" s="42" t="s">
        <v>106</v>
      </c>
      <c r="F16" s="46">
        <v>131</v>
      </c>
      <c r="G16" s="14">
        <f t="shared" si="8"/>
        <v>1243</v>
      </c>
      <c r="H16">
        <f>ROUND(PRODUCT(G16/13),0)</f>
        <v>96</v>
      </c>
      <c r="I16">
        <f>ROUND(PRODUCT(G16/COUNT(F4:F16)),0)</f>
        <v>96</v>
      </c>
      <c r="J16" s="30">
        <v>0.3</v>
      </c>
      <c r="K16" s="18">
        <f t="shared" si="5"/>
        <v>3.21875</v>
      </c>
      <c r="L16" s="34">
        <f t="shared" si="0"/>
        <v>18.2</v>
      </c>
      <c r="M16" s="26">
        <v>49.5</v>
      </c>
      <c r="N16" s="30">
        <v>0.375</v>
      </c>
      <c r="O16" s="18">
        <f t="shared" si="6"/>
        <v>4.6347222222222229</v>
      </c>
      <c r="P16" s="34">
        <f t="shared" si="1"/>
        <v>14.6</v>
      </c>
      <c r="Q16" s="18">
        <f t="shared" si="2"/>
        <v>7.5000000000000011E-2</v>
      </c>
      <c r="R16" s="18">
        <f t="shared" si="9"/>
        <v>1.4159722222222222</v>
      </c>
      <c r="S16">
        <v>1560</v>
      </c>
      <c r="T16">
        <v>1660</v>
      </c>
      <c r="U16" s="15">
        <f t="shared" si="10"/>
        <v>100</v>
      </c>
      <c r="V16">
        <v>1053</v>
      </c>
      <c r="W16" s="15">
        <f t="shared" si="7"/>
        <v>13256</v>
      </c>
      <c r="X16">
        <f t="shared" si="3"/>
        <v>953</v>
      </c>
      <c r="Y16" s="15">
        <f t="shared" si="11"/>
        <v>13086</v>
      </c>
      <c r="Z16" s="15">
        <f t="shared" si="4"/>
        <v>100</v>
      </c>
      <c r="AA16">
        <v>1730</v>
      </c>
      <c r="AB16">
        <v>1</v>
      </c>
      <c r="AC16">
        <v>6</v>
      </c>
      <c r="AE16" s="15"/>
      <c r="AF16">
        <v>19</v>
      </c>
      <c r="AG16">
        <v>29</v>
      </c>
      <c r="AH16" s="16">
        <f t="shared" si="12"/>
        <v>10</v>
      </c>
      <c r="AK16" s="26"/>
    </row>
    <row r="17" spans="1:37" ht="13">
      <c r="A17" s="35" t="s">
        <v>37</v>
      </c>
      <c r="B17" s="37">
        <v>46010</v>
      </c>
      <c r="C17" s="40" t="s">
        <v>106</v>
      </c>
      <c r="D17" s="41" t="s">
        <v>107</v>
      </c>
      <c r="E17" s="42" t="s">
        <v>108</v>
      </c>
      <c r="F17" s="46">
        <v>89</v>
      </c>
      <c r="G17" s="14">
        <f t="shared" si="8"/>
        <v>1332</v>
      </c>
      <c r="H17">
        <f>ROUND(PRODUCT(G17/14),0)</f>
        <v>95</v>
      </c>
      <c r="I17">
        <f>ROUND(PRODUCT(G17/COUNT(F4:F17)),0)</f>
        <v>95</v>
      </c>
      <c r="J17" s="30">
        <v>0.26319444444444445</v>
      </c>
      <c r="K17" s="18">
        <f t="shared" si="5"/>
        <v>3.4819444444444443</v>
      </c>
      <c r="L17" s="34">
        <f t="shared" si="0"/>
        <v>14.1</v>
      </c>
      <c r="M17" s="26">
        <v>47</v>
      </c>
      <c r="N17" s="30">
        <v>0.3263888888888889</v>
      </c>
      <c r="O17" s="18">
        <f t="shared" si="6"/>
        <v>4.9611111111111121</v>
      </c>
      <c r="P17" s="34">
        <f t="shared" si="1"/>
        <v>11.4</v>
      </c>
      <c r="Q17" s="18">
        <f t="shared" si="2"/>
        <v>6.3194444444444442E-2</v>
      </c>
      <c r="R17" s="18">
        <f t="shared" si="9"/>
        <v>1.4791666666666665</v>
      </c>
      <c r="S17">
        <v>1660</v>
      </c>
      <c r="T17">
        <v>1300</v>
      </c>
      <c r="U17" s="15">
        <f t="shared" si="10"/>
        <v>-360</v>
      </c>
      <c r="V17">
        <v>634</v>
      </c>
      <c r="W17" s="15">
        <f t="shared" si="7"/>
        <v>13890</v>
      </c>
      <c r="X17">
        <f t="shared" si="3"/>
        <v>994</v>
      </c>
      <c r="Y17" s="15">
        <f t="shared" si="11"/>
        <v>14080</v>
      </c>
      <c r="Z17" s="15">
        <f t="shared" si="4"/>
        <v>-360</v>
      </c>
      <c r="AA17">
        <v>1710</v>
      </c>
      <c r="AB17">
        <v>2</v>
      </c>
      <c r="AC17">
        <v>11</v>
      </c>
      <c r="AE17" s="15"/>
      <c r="AF17">
        <v>19</v>
      </c>
      <c r="AG17">
        <v>38</v>
      </c>
      <c r="AH17" s="16">
        <f t="shared" si="12"/>
        <v>19</v>
      </c>
      <c r="AK17" s="26"/>
    </row>
    <row r="18" spans="1:37" ht="13">
      <c r="A18" s="35" t="s">
        <v>38</v>
      </c>
      <c r="B18" s="37">
        <v>46011</v>
      </c>
      <c r="C18" s="40" t="s">
        <v>108</v>
      </c>
      <c r="D18" s="41" t="s">
        <v>109</v>
      </c>
      <c r="E18" s="42" t="s">
        <v>110</v>
      </c>
      <c r="F18" s="46">
        <v>170</v>
      </c>
      <c r="G18" s="14">
        <f t="shared" si="8"/>
        <v>1502</v>
      </c>
      <c r="H18">
        <f>ROUND(PRODUCT(G18/15),0)</f>
        <v>100</v>
      </c>
      <c r="I18">
        <f>ROUND(PRODUCT(G18/COUNT(F4:F18)),0)</f>
        <v>100</v>
      </c>
      <c r="J18" s="30">
        <v>0.38263888888888886</v>
      </c>
      <c r="K18" s="18">
        <f t="shared" si="5"/>
        <v>3.864583333333333</v>
      </c>
      <c r="L18" s="34">
        <f t="shared" si="0"/>
        <v>18.5</v>
      </c>
      <c r="M18" s="26">
        <v>53.5</v>
      </c>
      <c r="N18" s="30">
        <v>0.45833333333333331</v>
      </c>
      <c r="O18" s="18">
        <f t="shared" si="6"/>
        <v>5.4194444444444452</v>
      </c>
      <c r="P18" s="34">
        <f t="shared" si="1"/>
        <v>15.5</v>
      </c>
      <c r="Q18" s="18">
        <f t="shared" si="2"/>
        <v>7.5694444444444453E-2</v>
      </c>
      <c r="R18" s="18">
        <f t="shared" si="9"/>
        <v>1.554861111111111</v>
      </c>
      <c r="S18">
        <v>1300</v>
      </c>
      <c r="T18">
        <v>477</v>
      </c>
      <c r="U18" s="15">
        <f t="shared" si="10"/>
        <v>-823</v>
      </c>
      <c r="V18">
        <v>893</v>
      </c>
      <c r="W18" s="15">
        <f t="shared" si="7"/>
        <v>14783</v>
      </c>
      <c r="X18">
        <f t="shared" si="3"/>
        <v>1716</v>
      </c>
      <c r="Y18" s="15">
        <f t="shared" si="11"/>
        <v>15796</v>
      </c>
      <c r="Z18" s="15">
        <f t="shared" si="4"/>
        <v>-823</v>
      </c>
      <c r="AA18">
        <v>1330</v>
      </c>
      <c r="AB18">
        <v>2</v>
      </c>
      <c r="AC18">
        <v>14</v>
      </c>
      <c r="AE18" s="15"/>
      <c r="AF18">
        <v>20</v>
      </c>
      <c r="AG18">
        <v>37</v>
      </c>
      <c r="AH18" s="16">
        <f t="shared" si="12"/>
        <v>17</v>
      </c>
      <c r="AK18" s="26"/>
    </row>
    <row r="19" spans="1:37" ht="13">
      <c r="A19" s="35" t="s">
        <v>39</v>
      </c>
      <c r="B19" s="37">
        <v>46012</v>
      </c>
      <c r="C19" s="40" t="s">
        <v>110</v>
      </c>
      <c r="D19" s="41" t="s">
        <v>111</v>
      </c>
      <c r="E19" s="42" t="s">
        <v>112</v>
      </c>
      <c r="F19" s="46">
        <v>81</v>
      </c>
      <c r="G19" s="14">
        <f t="shared" si="8"/>
        <v>1583</v>
      </c>
      <c r="H19">
        <f>ROUND(PRODUCT(G19/16),0)</f>
        <v>99</v>
      </c>
      <c r="I19">
        <f>ROUND(PRODUCT(G19/COUNT(F4:F19)),0)</f>
        <v>99</v>
      </c>
      <c r="J19" s="30">
        <v>0.27638888888888891</v>
      </c>
      <c r="K19" s="18">
        <f t="shared" si="5"/>
        <v>4.1409722222222216</v>
      </c>
      <c r="L19" s="34">
        <f t="shared" si="0"/>
        <v>12.2</v>
      </c>
      <c r="M19" s="26">
        <v>41.5</v>
      </c>
      <c r="N19" s="30">
        <v>0.375</v>
      </c>
      <c r="O19" s="18">
        <f t="shared" si="6"/>
        <v>5.7944444444444452</v>
      </c>
      <c r="P19" s="34">
        <f t="shared" si="1"/>
        <v>9</v>
      </c>
      <c r="Q19" s="18">
        <f t="shared" si="2"/>
        <v>9.8611111111111094E-2</v>
      </c>
      <c r="R19" s="18">
        <f t="shared" si="9"/>
        <v>1.6534722222222222</v>
      </c>
      <c r="S19">
        <v>477</v>
      </c>
      <c r="T19">
        <v>1014</v>
      </c>
      <c r="U19" s="15">
        <f t="shared" si="10"/>
        <v>537</v>
      </c>
      <c r="V19">
        <v>1104</v>
      </c>
      <c r="W19" s="15">
        <f t="shared" si="7"/>
        <v>15887</v>
      </c>
      <c r="X19">
        <f t="shared" si="3"/>
        <v>567</v>
      </c>
      <c r="Y19" s="15">
        <f t="shared" si="11"/>
        <v>16363</v>
      </c>
      <c r="Z19" s="15">
        <f t="shared" si="4"/>
        <v>537</v>
      </c>
      <c r="AA19">
        <v>1120</v>
      </c>
      <c r="AB19">
        <v>4</v>
      </c>
      <c r="AC19">
        <v>11</v>
      </c>
      <c r="AE19" s="15"/>
      <c r="AF19">
        <v>26</v>
      </c>
      <c r="AG19">
        <v>38</v>
      </c>
      <c r="AH19" s="16">
        <f t="shared" si="12"/>
        <v>12</v>
      </c>
      <c r="AK19" s="26"/>
    </row>
    <row r="20" spans="1:37" ht="13">
      <c r="A20" s="35" t="s">
        <v>40</v>
      </c>
      <c r="B20" s="37">
        <v>46013</v>
      </c>
      <c r="C20" s="40" t="s">
        <v>112</v>
      </c>
      <c r="D20" s="41"/>
      <c r="E20" s="42" t="s">
        <v>113</v>
      </c>
      <c r="F20" s="46">
        <v>87</v>
      </c>
      <c r="G20" s="14">
        <f t="shared" si="8"/>
        <v>1670</v>
      </c>
      <c r="H20">
        <f>ROUND(PRODUCT(G20/17),0)</f>
        <v>98</v>
      </c>
      <c r="I20">
        <f>ROUND(PRODUCT(G20/COUNT(F4:F20)),0)</f>
        <v>98</v>
      </c>
      <c r="J20" s="30">
        <v>0.21458333333333332</v>
      </c>
      <c r="K20" s="18">
        <f t="shared" si="5"/>
        <v>4.3555555555555552</v>
      </c>
      <c r="L20" s="34">
        <f t="shared" si="0"/>
        <v>16.899999999999999</v>
      </c>
      <c r="M20" s="26">
        <v>48.5</v>
      </c>
      <c r="N20" s="30">
        <v>0.29166666666666669</v>
      </c>
      <c r="O20" s="18">
        <f t="shared" si="6"/>
        <v>6.0861111111111121</v>
      </c>
      <c r="P20" s="34">
        <f t="shared" si="1"/>
        <v>12.4</v>
      </c>
      <c r="Q20" s="18">
        <f t="shared" si="2"/>
        <v>7.7083333333333365E-2</v>
      </c>
      <c r="R20" s="18">
        <f t="shared" si="9"/>
        <v>1.7305555555555556</v>
      </c>
      <c r="S20">
        <v>1014</v>
      </c>
      <c r="T20">
        <v>1333</v>
      </c>
      <c r="U20" s="15">
        <f t="shared" si="10"/>
        <v>319</v>
      </c>
      <c r="V20">
        <v>801</v>
      </c>
      <c r="W20" s="15">
        <f t="shared" si="7"/>
        <v>16688</v>
      </c>
      <c r="X20">
        <f t="shared" si="3"/>
        <v>482</v>
      </c>
      <c r="Y20" s="15">
        <f t="shared" si="11"/>
        <v>16845</v>
      </c>
      <c r="Z20" s="15">
        <f t="shared" si="4"/>
        <v>319</v>
      </c>
      <c r="AA20">
        <v>1360</v>
      </c>
      <c r="AB20">
        <v>2</v>
      </c>
      <c r="AC20">
        <v>12</v>
      </c>
      <c r="AE20" s="15"/>
      <c r="AF20">
        <v>21</v>
      </c>
      <c r="AG20">
        <v>31</v>
      </c>
      <c r="AH20" s="16">
        <f t="shared" si="12"/>
        <v>10</v>
      </c>
      <c r="AK20" s="26"/>
    </row>
    <row r="21" spans="1:37" ht="13">
      <c r="A21" s="35" t="s">
        <v>41</v>
      </c>
      <c r="B21" s="37">
        <v>46014</v>
      </c>
      <c r="C21" s="40" t="s">
        <v>113</v>
      </c>
      <c r="D21" s="41" t="s">
        <v>114</v>
      </c>
      <c r="E21" s="42" t="s">
        <v>115</v>
      </c>
      <c r="F21" s="46">
        <v>153</v>
      </c>
      <c r="G21" s="14">
        <f t="shared" si="8"/>
        <v>1823</v>
      </c>
      <c r="H21">
        <f>ROUND(PRODUCT(G21/18),0)</f>
        <v>101</v>
      </c>
      <c r="I21">
        <f>ROUND(PRODUCT(G21/COUNT(F4:F21)),0)</f>
        <v>101</v>
      </c>
      <c r="J21" s="30">
        <v>0.31458333333333333</v>
      </c>
      <c r="K21" s="18">
        <f t="shared" si="5"/>
        <v>4.6701388888888884</v>
      </c>
      <c r="L21" s="34">
        <f t="shared" si="0"/>
        <v>20.3</v>
      </c>
      <c r="M21" s="26">
        <v>68</v>
      </c>
      <c r="N21" s="30">
        <v>0.39583333333333331</v>
      </c>
      <c r="O21" s="18">
        <f t="shared" si="6"/>
        <v>6.4819444444444452</v>
      </c>
      <c r="P21" s="34">
        <f t="shared" si="1"/>
        <v>16.100000000000001</v>
      </c>
      <c r="Q21" s="18">
        <f t="shared" si="2"/>
        <v>8.1249999999999989E-2</v>
      </c>
      <c r="R21" s="18">
        <f t="shared" si="9"/>
        <v>1.8118055555555557</v>
      </c>
      <c r="S21">
        <v>1333</v>
      </c>
      <c r="T21">
        <v>470</v>
      </c>
      <c r="U21" s="15">
        <f t="shared" si="10"/>
        <v>-863</v>
      </c>
      <c r="V21">
        <v>777</v>
      </c>
      <c r="W21" s="15">
        <f t="shared" si="7"/>
        <v>17465</v>
      </c>
      <c r="X21">
        <f t="shared" si="3"/>
        <v>1640</v>
      </c>
      <c r="Y21" s="15">
        <f t="shared" si="11"/>
        <v>18485</v>
      </c>
      <c r="Z21" s="15">
        <f t="shared" si="4"/>
        <v>-863</v>
      </c>
      <c r="AA21">
        <v>1333</v>
      </c>
      <c r="AB21">
        <v>2</v>
      </c>
      <c r="AC21">
        <v>10</v>
      </c>
      <c r="AE21" s="15"/>
      <c r="AF21">
        <v>21</v>
      </c>
      <c r="AG21">
        <v>36</v>
      </c>
      <c r="AH21" s="16">
        <f t="shared" si="12"/>
        <v>15</v>
      </c>
      <c r="AK21" s="26"/>
    </row>
    <row r="22" spans="1:37" ht="13">
      <c r="A22" s="35" t="s">
        <v>42</v>
      </c>
      <c r="B22" s="37">
        <v>46015</v>
      </c>
      <c r="C22" s="40" t="s">
        <v>115</v>
      </c>
      <c r="D22" s="41" t="s">
        <v>116</v>
      </c>
      <c r="E22" s="42" t="s">
        <v>117</v>
      </c>
      <c r="F22" s="46">
        <v>131</v>
      </c>
      <c r="G22" s="14">
        <f t="shared" si="8"/>
        <v>1954</v>
      </c>
      <c r="H22">
        <f>ROUND(PRODUCT(G22/19),0)</f>
        <v>103</v>
      </c>
      <c r="I22">
        <f>ROUND(PRODUCT(G22/COUNT(F4:F22)),0)</f>
        <v>103</v>
      </c>
      <c r="J22" s="30">
        <v>0.29236111111111113</v>
      </c>
      <c r="K22" s="18">
        <f t="shared" si="5"/>
        <v>4.9624999999999995</v>
      </c>
      <c r="L22" s="34">
        <f t="shared" si="0"/>
        <v>18.7</v>
      </c>
      <c r="M22" s="26">
        <v>49.5</v>
      </c>
      <c r="N22" s="30">
        <v>0.35416666666666669</v>
      </c>
      <c r="O22" s="18">
        <f t="shared" si="6"/>
        <v>6.8361111111111121</v>
      </c>
      <c r="P22" s="34">
        <f t="shared" si="1"/>
        <v>15.4</v>
      </c>
      <c r="Q22" s="18">
        <f t="shared" si="2"/>
        <v>6.1805555555555558E-2</v>
      </c>
      <c r="R22" s="18">
        <f t="shared" si="9"/>
        <v>1.8736111111111113</v>
      </c>
      <c r="S22">
        <v>470</v>
      </c>
      <c r="T22">
        <v>520</v>
      </c>
      <c r="U22" s="15">
        <f t="shared" si="10"/>
        <v>50</v>
      </c>
      <c r="V22">
        <v>625</v>
      </c>
      <c r="W22" s="15">
        <f t="shared" si="7"/>
        <v>18090</v>
      </c>
      <c r="X22">
        <f t="shared" si="3"/>
        <v>575</v>
      </c>
      <c r="Y22" s="15">
        <f t="shared" si="11"/>
        <v>19060</v>
      </c>
      <c r="Z22" s="15">
        <f t="shared" si="4"/>
        <v>50</v>
      </c>
      <c r="AA22">
        <v>600</v>
      </c>
      <c r="AB22">
        <v>2</v>
      </c>
      <c r="AC22">
        <v>38</v>
      </c>
      <c r="AE22" s="15"/>
      <c r="AF22">
        <v>26</v>
      </c>
      <c r="AG22">
        <v>38</v>
      </c>
      <c r="AH22" s="16">
        <f t="shared" si="12"/>
        <v>12</v>
      </c>
      <c r="AK22" s="26"/>
    </row>
    <row r="23" spans="1:37" ht="13">
      <c r="A23" s="35" t="s">
        <v>45</v>
      </c>
      <c r="B23" s="37">
        <v>46016</v>
      </c>
      <c r="C23" s="40" t="s">
        <v>117</v>
      </c>
      <c r="D23" s="41" t="s">
        <v>118</v>
      </c>
      <c r="E23" s="42" t="s">
        <v>119</v>
      </c>
      <c r="F23" s="46">
        <v>118</v>
      </c>
      <c r="G23" s="14">
        <f t="shared" si="8"/>
        <v>2072</v>
      </c>
      <c r="H23">
        <f>ROUND(PRODUCT(G23/20),0)</f>
        <v>104</v>
      </c>
      <c r="I23">
        <f>ROUND(PRODUCT(G23/COUNT(F4:F23)),0)</f>
        <v>104</v>
      </c>
      <c r="J23" s="39">
        <v>0.2590277777777778</v>
      </c>
      <c r="K23" s="18">
        <f t="shared" si="5"/>
        <v>5.2215277777777773</v>
      </c>
      <c r="L23" s="34">
        <f t="shared" si="0"/>
        <v>19</v>
      </c>
      <c r="M23" s="26">
        <v>38.5</v>
      </c>
      <c r="N23" s="30">
        <v>0.32291666666666669</v>
      </c>
      <c r="O23" s="18">
        <f t="shared" si="6"/>
        <v>7.1590277777777791</v>
      </c>
      <c r="P23" s="34">
        <f t="shared" si="1"/>
        <v>15.2</v>
      </c>
      <c r="Q23" s="18">
        <f t="shared" si="2"/>
        <v>6.3888888888888884E-2</v>
      </c>
      <c r="R23" s="18">
        <f t="shared" si="9"/>
        <v>1.9375000000000002</v>
      </c>
      <c r="S23">
        <v>520</v>
      </c>
      <c r="T23">
        <v>586</v>
      </c>
      <c r="U23" s="15">
        <f t="shared" si="10"/>
        <v>66</v>
      </c>
      <c r="V23">
        <v>401</v>
      </c>
      <c r="W23" s="15">
        <f t="shared" si="7"/>
        <v>18491</v>
      </c>
      <c r="X23">
        <f t="shared" si="3"/>
        <v>335</v>
      </c>
      <c r="Y23" s="15">
        <f t="shared" si="11"/>
        <v>19395</v>
      </c>
      <c r="Z23" s="15">
        <f t="shared" si="4"/>
        <v>66</v>
      </c>
      <c r="AA23">
        <v>590</v>
      </c>
      <c r="AB23">
        <v>2</v>
      </c>
      <c r="AC23">
        <v>13</v>
      </c>
      <c r="AE23" s="15"/>
      <c r="AF23">
        <v>23</v>
      </c>
      <c r="AG23">
        <v>36</v>
      </c>
      <c r="AH23" s="16">
        <f t="shared" si="12"/>
        <v>13</v>
      </c>
      <c r="AK23" s="26"/>
    </row>
    <row r="24" spans="1:37" ht="13">
      <c r="A24" s="35" t="s">
        <v>46</v>
      </c>
      <c r="B24" s="37">
        <v>46017</v>
      </c>
      <c r="C24" s="40" t="s">
        <v>119</v>
      </c>
      <c r="D24" s="41"/>
      <c r="E24" s="42" t="s">
        <v>120</v>
      </c>
      <c r="F24" s="46">
        <v>91</v>
      </c>
      <c r="G24" s="14">
        <f t="shared" si="8"/>
        <v>2163</v>
      </c>
      <c r="H24">
        <f>ROUND(PRODUCT(G24/21),0)</f>
        <v>103</v>
      </c>
      <c r="I24">
        <f>ROUND(PRODUCT(G24/COUNT(F4:F24)),0)</f>
        <v>103</v>
      </c>
      <c r="J24" s="30">
        <v>0.20624999999999999</v>
      </c>
      <c r="K24" s="18">
        <f t="shared" si="5"/>
        <v>5.4277777777777771</v>
      </c>
      <c r="L24" s="34">
        <f t="shared" si="0"/>
        <v>18.399999999999999</v>
      </c>
      <c r="M24" s="26">
        <v>37.5</v>
      </c>
      <c r="N24" s="30">
        <v>0.29166666666666669</v>
      </c>
      <c r="O24" s="18">
        <f t="shared" si="6"/>
        <v>7.4506944444444461</v>
      </c>
      <c r="P24" s="34">
        <f t="shared" si="1"/>
        <v>13</v>
      </c>
      <c r="Q24" s="18">
        <f t="shared" si="2"/>
        <v>8.5416666666666696E-2</v>
      </c>
      <c r="R24" s="18">
        <f t="shared" si="9"/>
        <v>2.0229166666666671</v>
      </c>
      <c r="S24">
        <v>586</v>
      </c>
      <c r="T24">
        <v>743</v>
      </c>
      <c r="U24" s="15">
        <f t="shared" si="10"/>
        <v>157</v>
      </c>
      <c r="V24">
        <v>435</v>
      </c>
      <c r="W24" s="15">
        <f t="shared" si="7"/>
        <v>18926</v>
      </c>
      <c r="X24">
        <f t="shared" si="3"/>
        <v>278</v>
      </c>
      <c r="Y24" s="15">
        <f t="shared" si="11"/>
        <v>19673</v>
      </c>
      <c r="Z24" s="15">
        <f t="shared" si="4"/>
        <v>157</v>
      </c>
      <c r="AA24">
        <v>810</v>
      </c>
      <c r="AB24">
        <v>2</v>
      </c>
      <c r="AC24">
        <v>13</v>
      </c>
      <c r="AE24" s="15"/>
      <c r="AF24">
        <v>22</v>
      </c>
      <c r="AG24">
        <v>28</v>
      </c>
      <c r="AH24" s="16">
        <f t="shared" si="12"/>
        <v>6</v>
      </c>
      <c r="AK24" s="26"/>
    </row>
    <row r="25" spans="1:37" ht="13">
      <c r="A25" s="35" t="s">
        <v>47</v>
      </c>
      <c r="B25" s="37">
        <v>46018</v>
      </c>
      <c r="C25" s="40" t="s">
        <v>120</v>
      </c>
      <c r="D25" s="41" t="s">
        <v>121</v>
      </c>
      <c r="E25" s="42" t="s">
        <v>122</v>
      </c>
      <c r="F25" s="46">
        <v>113</v>
      </c>
      <c r="G25" s="14">
        <f t="shared" si="8"/>
        <v>2276</v>
      </c>
      <c r="H25">
        <f>ROUND(PRODUCT(G25/22),0)</f>
        <v>103</v>
      </c>
      <c r="I25">
        <f>ROUND(PRODUCT(G25/COUNT(F4:F25)),0)</f>
        <v>103</v>
      </c>
      <c r="J25" s="30">
        <v>0.29166666666666669</v>
      </c>
      <c r="K25" s="18">
        <f t="shared" si="5"/>
        <v>5.7194444444444441</v>
      </c>
      <c r="L25" s="34">
        <f t="shared" si="0"/>
        <v>16.100000000000001</v>
      </c>
      <c r="M25" s="26">
        <v>47.5</v>
      </c>
      <c r="N25" s="30">
        <v>0.41666666666666669</v>
      </c>
      <c r="O25" s="18">
        <f t="shared" si="6"/>
        <v>7.867361111111113</v>
      </c>
      <c r="P25" s="34">
        <f t="shared" si="1"/>
        <v>11.3</v>
      </c>
      <c r="Q25" s="18">
        <f t="shared" si="2"/>
        <v>0.125</v>
      </c>
      <c r="R25" s="18">
        <f t="shared" si="9"/>
        <v>2.1479166666666671</v>
      </c>
      <c r="S25">
        <v>743</v>
      </c>
      <c r="T25">
        <v>700</v>
      </c>
      <c r="U25" s="15">
        <f t="shared" si="10"/>
        <v>-43</v>
      </c>
      <c r="V25">
        <v>882</v>
      </c>
      <c r="W25" s="15">
        <f t="shared" si="7"/>
        <v>19808</v>
      </c>
      <c r="X25">
        <f t="shared" si="3"/>
        <v>925</v>
      </c>
      <c r="Y25" s="15">
        <f t="shared" si="11"/>
        <v>20598</v>
      </c>
      <c r="Z25" s="15">
        <f t="shared" si="4"/>
        <v>-43</v>
      </c>
      <c r="AA25">
        <v>750</v>
      </c>
      <c r="AB25">
        <v>2</v>
      </c>
      <c r="AC25">
        <v>13</v>
      </c>
      <c r="AE25" s="15"/>
      <c r="AF25">
        <v>24</v>
      </c>
      <c r="AG25">
        <v>28</v>
      </c>
      <c r="AH25" s="16">
        <f t="shared" si="12"/>
        <v>4</v>
      </c>
      <c r="AK25" s="26"/>
    </row>
    <row r="26" spans="1:37" ht="13">
      <c r="A26" s="35" t="s">
        <v>48</v>
      </c>
      <c r="B26" s="37">
        <v>46019</v>
      </c>
      <c r="C26" s="40" t="s">
        <v>122</v>
      </c>
      <c r="D26" s="41" t="s">
        <v>123</v>
      </c>
      <c r="E26" s="42" t="s">
        <v>124</v>
      </c>
      <c r="F26" s="46">
        <v>134</v>
      </c>
      <c r="G26" s="14">
        <f t="shared" si="8"/>
        <v>2410</v>
      </c>
      <c r="H26">
        <f>ROUND(PRODUCT(G26/23),0)</f>
        <v>105</v>
      </c>
      <c r="I26">
        <f>ROUND(PRODUCT(G26/COUNT(F4:F26)),0)</f>
        <v>105</v>
      </c>
      <c r="J26" s="30">
        <v>0.30833333333333335</v>
      </c>
      <c r="K26" s="18">
        <f t="shared" si="5"/>
        <v>6.0277777777777777</v>
      </c>
      <c r="L26" s="34">
        <f t="shared" si="0"/>
        <v>18.100000000000001</v>
      </c>
      <c r="M26" s="26">
        <v>48.5</v>
      </c>
      <c r="N26" s="30">
        <v>0.39583333333333331</v>
      </c>
      <c r="O26" s="18">
        <f t="shared" si="6"/>
        <v>8.2631944444444461</v>
      </c>
      <c r="P26" s="34">
        <f t="shared" si="1"/>
        <v>14.1</v>
      </c>
      <c r="Q26" s="18">
        <f t="shared" si="2"/>
        <v>8.7499999999999967E-2</v>
      </c>
      <c r="R26" s="18">
        <f t="shared" si="9"/>
        <v>2.2354166666666671</v>
      </c>
      <c r="S26">
        <v>700</v>
      </c>
      <c r="T26">
        <v>140</v>
      </c>
      <c r="U26" s="15">
        <f t="shared" si="10"/>
        <v>-560</v>
      </c>
      <c r="V26">
        <v>829</v>
      </c>
      <c r="W26" s="15">
        <f t="shared" si="7"/>
        <v>20637</v>
      </c>
      <c r="X26">
        <f t="shared" si="3"/>
        <v>1389</v>
      </c>
      <c r="Y26" s="15">
        <f t="shared" si="11"/>
        <v>21987</v>
      </c>
      <c r="Z26" s="15">
        <f t="shared" si="4"/>
        <v>-560</v>
      </c>
      <c r="AA26">
        <v>880</v>
      </c>
      <c r="AB26">
        <v>2</v>
      </c>
      <c r="AC26">
        <v>10</v>
      </c>
      <c r="AE26" s="15"/>
      <c r="AF26">
        <v>24</v>
      </c>
      <c r="AG26">
        <v>34</v>
      </c>
      <c r="AH26" s="16">
        <f t="shared" si="12"/>
        <v>10</v>
      </c>
      <c r="AK26" s="26"/>
    </row>
    <row r="27" spans="1:37" ht="13">
      <c r="A27" s="35" t="s">
        <v>49</v>
      </c>
      <c r="B27" s="37">
        <v>46020</v>
      </c>
      <c r="C27" s="40" t="s">
        <v>124</v>
      </c>
      <c r="D27" s="41" t="s">
        <v>125</v>
      </c>
      <c r="E27" s="42" t="s">
        <v>126</v>
      </c>
      <c r="F27" s="46">
        <v>146</v>
      </c>
      <c r="G27" s="14">
        <f t="shared" si="8"/>
        <v>2556</v>
      </c>
      <c r="H27">
        <f>ROUND(PRODUCT(G27/24),0)</f>
        <v>107</v>
      </c>
      <c r="I27">
        <f>ROUND(PRODUCT(G27/COUNT(F4:F27)),0)</f>
        <v>107</v>
      </c>
      <c r="J27" s="30">
        <v>0.37291666666666667</v>
      </c>
      <c r="K27" s="18">
        <f t="shared" si="5"/>
        <v>6.4006944444444445</v>
      </c>
      <c r="L27" s="34">
        <f t="shared" si="0"/>
        <v>16.3</v>
      </c>
      <c r="M27" s="26">
        <v>45</v>
      </c>
      <c r="N27" s="30">
        <v>0.52083333333333337</v>
      </c>
      <c r="O27" s="18">
        <f t="shared" si="6"/>
        <v>8.78402777777778</v>
      </c>
      <c r="P27" s="34">
        <f t="shared" si="1"/>
        <v>11.7</v>
      </c>
      <c r="Q27" s="18">
        <f t="shared" si="2"/>
        <v>0.1479166666666667</v>
      </c>
      <c r="R27" s="18">
        <f t="shared" si="9"/>
        <v>2.3833333333333337</v>
      </c>
      <c r="S27">
        <v>140</v>
      </c>
      <c r="T27">
        <v>609</v>
      </c>
      <c r="U27" s="15">
        <f t="shared" si="10"/>
        <v>469</v>
      </c>
      <c r="V27">
        <v>1319</v>
      </c>
      <c r="W27" s="15">
        <f t="shared" si="7"/>
        <v>21956</v>
      </c>
      <c r="X27">
        <f t="shared" si="3"/>
        <v>850</v>
      </c>
      <c r="Y27" s="15">
        <f t="shared" si="11"/>
        <v>22837</v>
      </c>
      <c r="Z27" s="15">
        <f t="shared" si="4"/>
        <v>469</v>
      </c>
      <c r="AA27">
        <v>644</v>
      </c>
      <c r="AB27">
        <v>2</v>
      </c>
      <c r="AC27">
        <v>8</v>
      </c>
      <c r="AE27" s="15"/>
      <c r="AF27">
        <v>27</v>
      </c>
      <c r="AG27">
        <v>40</v>
      </c>
      <c r="AH27" s="16">
        <f t="shared" si="12"/>
        <v>13</v>
      </c>
    </row>
    <row r="28" spans="1:37" ht="13">
      <c r="A28" s="35" t="s">
        <v>50</v>
      </c>
      <c r="B28" s="37">
        <v>46021</v>
      </c>
      <c r="C28" s="40" t="s">
        <v>126</v>
      </c>
      <c r="D28" s="41" t="s">
        <v>127</v>
      </c>
      <c r="E28" s="42" t="s">
        <v>128</v>
      </c>
      <c r="F28" s="4">
        <v>146</v>
      </c>
      <c r="G28" s="14">
        <f t="shared" si="8"/>
        <v>2702</v>
      </c>
      <c r="H28">
        <f>ROUND(PRODUCT(G28/25),0)</f>
        <v>108</v>
      </c>
      <c r="I28">
        <f>ROUND(PRODUCT(G28/COUNT(F4:F28)),0)</f>
        <v>108</v>
      </c>
      <c r="J28" s="30">
        <v>0.375</v>
      </c>
      <c r="K28" s="18">
        <f t="shared" si="5"/>
        <v>6.7756944444444445</v>
      </c>
      <c r="L28" s="34">
        <f t="shared" si="0"/>
        <v>16.2</v>
      </c>
      <c r="M28" s="26">
        <v>49</v>
      </c>
      <c r="N28" s="30">
        <v>0.4375</v>
      </c>
      <c r="O28" s="18">
        <f t="shared" si="6"/>
        <v>9.22152777777778</v>
      </c>
      <c r="P28" s="34">
        <f t="shared" si="1"/>
        <v>13.9</v>
      </c>
      <c r="Q28" s="18">
        <f t="shared" si="2"/>
        <v>6.25E-2</v>
      </c>
      <c r="R28" s="18">
        <f t="shared" si="9"/>
        <v>2.4458333333333337</v>
      </c>
      <c r="S28">
        <v>609</v>
      </c>
      <c r="T28">
        <v>1350</v>
      </c>
      <c r="U28" s="15">
        <f t="shared" si="10"/>
        <v>741</v>
      </c>
      <c r="V28">
        <v>1550</v>
      </c>
      <c r="W28" s="15">
        <f t="shared" si="7"/>
        <v>23506</v>
      </c>
      <c r="X28">
        <f t="shared" si="3"/>
        <v>809</v>
      </c>
      <c r="Y28" s="15">
        <f t="shared" si="11"/>
        <v>23646</v>
      </c>
      <c r="Z28" s="15">
        <f t="shared" si="4"/>
        <v>741</v>
      </c>
      <c r="AA28">
        <v>1350</v>
      </c>
      <c r="AB28">
        <v>2</v>
      </c>
      <c r="AC28" s="15">
        <v>8</v>
      </c>
      <c r="AE28" s="15"/>
      <c r="AF28" s="15">
        <v>22</v>
      </c>
      <c r="AG28" s="15">
        <v>37</v>
      </c>
      <c r="AH28" s="16">
        <f t="shared" si="12"/>
        <v>15</v>
      </c>
    </row>
    <row r="29" spans="1:37" ht="13">
      <c r="A29" s="35" t="s">
        <v>51</v>
      </c>
      <c r="B29" s="37">
        <v>46022</v>
      </c>
      <c r="C29" s="40" t="s">
        <v>128</v>
      </c>
      <c r="D29" s="41"/>
      <c r="E29" s="42" t="s">
        <v>129</v>
      </c>
      <c r="F29" s="4">
        <v>93</v>
      </c>
      <c r="G29" s="14">
        <f t="shared" si="8"/>
        <v>2795</v>
      </c>
      <c r="H29">
        <f>ROUND(PRODUCT(G29/26),0)</f>
        <v>108</v>
      </c>
      <c r="I29">
        <f>ROUND(PRODUCT(G29/COUNT(F4:F29)),0)</f>
        <v>108</v>
      </c>
      <c r="J29" s="30">
        <v>0.21041666666666667</v>
      </c>
      <c r="K29" s="18">
        <f t="shared" si="5"/>
        <v>6.9861111111111107</v>
      </c>
      <c r="L29" s="34">
        <f t="shared" si="0"/>
        <v>18.399999999999999</v>
      </c>
      <c r="M29" s="26">
        <v>45</v>
      </c>
      <c r="N29" s="30">
        <v>0.23958333333333334</v>
      </c>
      <c r="O29" s="18">
        <f t="shared" si="6"/>
        <v>9.4611111111111139</v>
      </c>
      <c r="P29" s="34">
        <f t="shared" si="1"/>
        <v>16.2</v>
      </c>
      <c r="Q29" s="18">
        <f t="shared" si="2"/>
        <v>2.9166666666666674E-2</v>
      </c>
      <c r="R29" s="18">
        <f t="shared" si="9"/>
        <v>2.4750000000000005</v>
      </c>
      <c r="S29">
        <v>1390</v>
      </c>
      <c r="T29">
        <v>1484</v>
      </c>
      <c r="U29" s="15">
        <f t="shared" si="10"/>
        <v>94</v>
      </c>
      <c r="V29">
        <v>789</v>
      </c>
      <c r="W29" s="15">
        <f t="shared" si="7"/>
        <v>24295</v>
      </c>
      <c r="X29">
        <f t="shared" si="3"/>
        <v>695</v>
      </c>
      <c r="Y29" s="15">
        <f t="shared" si="11"/>
        <v>24341</v>
      </c>
      <c r="Z29" s="15">
        <f t="shared" si="4"/>
        <v>94</v>
      </c>
      <c r="AA29">
        <v>1530</v>
      </c>
      <c r="AB29">
        <v>2</v>
      </c>
      <c r="AC29" s="15">
        <v>10</v>
      </c>
      <c r="AE29" s="15"/>
      <c r="AF29" s="15">
        <v>22</v>
      </c>
      <c r="AG29" s="15">
        <v>32</v>
      </c>
      <c r="AH29" s="16">
        <f t="shared" si="12"/>
        <v>10</v>
      </c>
    </row>
    <row r="30" spans="1:37" ht="13">
      <c r="A30" s="35" t="s">
        <v>52</v>
      </c>
      <c r="B30" s="37">
        <v>46023</v>
      </c>
      <c r="C30" s="40"/>
      <c r="D30" s="41" t="s">
        <v>129</v>
      </c>
      <c r="E30" s="42"/>
      <c r="F30" s="4"/>
      <c r="G30" s="14">
        <f t="shared" si="8"/>
        <v>2795</v>
      </c>
      <c r="H30">
        <f>ROUND(PRODUCT(G30/27),0)</f>
        <v>104</v>
      </c>
      <c r="I30">
        <f>ROUND(PRODUCT(G30/COUNT(F4:F30)),0)</f>
        <v>108</v>
      </c>
      <c r="J30" s="30"/>
      <c r="K30" s="18">
        <f t="shared" si="5"/>
        <v>6.9861111111111107</v>
      </c>
      <c r="L30" s="34">
        <f t="shared" si="0"/>
        <v>0</v>
      </c>
      <c r="M30" s="26"/>
      <c r="N30" s="30"/>
      <c r="O30" s="18">
        <f t="shared" si="6"/>
        <v>9.4611111111111139</v>
      </c>
      <c r="P30" s="34">
        <f t="shared" si="1"/>
        <v>0</v>
      </c>
      <c r="Q30" s="18">
        <f t="shared" si="2"/>
        <v>0</v>
      </c>
      <c r="R30" s="18">
        <f t="shared" si="9"/>
        <v>2.4750000000000005</v>
      </c>
      <c r="U30" s="15">
        <f t="shared" si="10"/>
        <v>0</v>
      </c>
      <c r="W30" s="15">
        <f t="shared" si="7"/>
        <v>24295</v>
      </c>
      <c r="X30">
        <f t="shared" si="3"/>
        <v>0</v>
      </c>
      <c r="Y30" s="15">
        <f t="shared" si="11"/>
        <v>24341</v>
      </c>
      <c r="Z30" s="15">
        <f t="shared" si="4"/>
        <v>0</v>
      </c>
      <c r="AC30" s="15"/>
      <c r="AE30" s="15"/>
      <c r="AF30" s="15"/>
      <c r="AG30" s="15"/>
      <c r="AH30" s="16">
        <f t="shared" si="12"/>
        <v>0</v>
      </c>
    </row>
    <row r="31" spans="1:37" ht="13">
      <c r="A31" s="35" t="s">
        <v>53</v>
      </c>
      <c r="B31" s="37">
        <v>46024</v>
      </c>
      <c r="C31" s="40" t="s">
        <v>129</v>
      </c>
      <c r="D31" s="41" t="s">
        <v>130</v>
      </c>
      <c r="E31" s="42" t="s">
        <v>131</v>
      </c>
      <c r="F31" s="4">
        <v>141</v>
      </c>
      <c r="G31" s="14">
        <f t="shared" si="8"/>
        <v>2936</v>
      </c>
      <c r="H31">
        <f>ROUND(PRODUCT(G31/28),0)</f>
        <v>105</v>
      </c>
      <c r="I31">
        <f>ROUND(PRODUCT(G31/COUNT(F4:F31)),0)</f>
        <v>109</v>
      </c>
      <c r="J31" s="30">
        <v>0.28680555555555554</v>
      </c>
      <c r="K31" s="18">
        <f t="shared" si="5"/>
        <v>7.2729166666666663</v>
      </c>
      <c r="L31" s="34">
        <f t="shared" si="0"/>
        <v>20.5</v>
      </c>
      <c r="M31" s="26">
        <v>37</v>
      </c>
      <c r="N31" s="30">
        <v>0.34027777777777779</v>
      </c>
      <c r="O31" s="18">
        <f t="shared" si="6"/>
        <v>9.8013888888888925</v>
      </c>
      <c r="P31" s="34">
        <f t="shared" si="1"/>
        <v>17.3</v>
      </c>
      <c r="Q31" s="18">
        <f t="shared" si="2"/>
        <v>5.3472222222222254E-2</v>
      </c>
      <c r="R31" s="18">
        <f t="shared" si="9"/>
        <v>2.5284722222222227</v>
      </c>
      <c r="S31">
        <v>1484</v>
      </c>
      <c r="T31">
        <v>1160</v>
      </c>
      <c r="U31" s="15">
        <f t="shared" si="10"/>
        <v>-324</v>
      </c>
      <c r="V31">
        <v>350</v>
      </c>
      <c r="W31" s="15">
        <f t="shared" si="7"/>
        <v>24645</v>
      </c>
      <c r="X31">
        <f t="shared" si="3"/>
        <v>674</v>
      </c>
      <c r="Y31" s="15">
        <f t="shared" si="11"/>
        <v>25015</v>
      </c>
      <c r="Z31" s="15">
        <f t="shared" si="4"/>
        <v>-324</v>
      </c>
      <c r="AA31">
        <v>1484</v>
      </c>
      <c r="AB31">
        <v>1</v>
      </c>
      <c r="AC31" s="47">
        <v>4</v>
      </c>
      <c r="AE31" s="15"/>
      <c r="AF31" s="15">
        <v>27</v>
      </c>
      <c r="AG31" s="15">
        <v>39</v>
      </c>
      <c r="AH31" s="16">
        <f t="shared" si="12"/>
        <v>12</v>
      </c>
    </row>
    <row r="32" spans="1:37" ht="13">
      <c r="A32" s="35" t="s">
        <v>54</v>
      </c>
      <c r="B32" s="37">
        <v>46025</v>
      </c>
      <c r="C32" s="40" t="s">
        <v>131</v>
      </c>
      <c r="D32" s="41" t="s">
        <v>132</v>
      </c>
      <c r="E32" s="42" t="s">
        <v>133</v>
      </c>
      <c r="F32" s="4">
        <v>133</v>
      </c>
      <c r="G32" s="14">
        <f t="shared" ref="G32:G52" si="13">SUM(G31,F32)</f>
        <v>3069</v>
      </c>
      <c r="H32">
        <f>ROUND(PRODUCT(G32/29),0)</f>
        <v>106</v>
      </c>
      <c r="I32">
        <f>ROUND(PRODUCT(G32/COUNT(F4:F32)),0)</f>
        <v>110</v>
      </c>
      <c r="J32" s="30">
        <v>0.28541666666666665</v>
      </c>
      <c r="K32" s="18">
        <f t="shared" ref="K32:K52" si="14">SUM(J32,K31)</f>
        <v>7.5583333333333327</v>
      </c>
      <c r="L32" s="34">
        <f t="shared" ref="L32:L52" si="15">IF(F32=0,0,ROUND(PRODUCT(F32/SUM(HOUR(J32),PRODUCT(MINUTE(J32)/60))),1))</f>
        <v>19.399999999999999</v>
      </c>
      <c r="M32" s="26">
        <v>43</v>
      </c>
      <c r="N32" s="30">
        <v>0.31944444444444442</v>
      </c>
      <c r="O32" s="18">
        <f t="shared" ref="O32:O52" si="16">SUM(N32,O31)</f>
        <v>10.120833333333337</v>
      </c>
      <c r="P32" s="34">
        <f t="shared" ref="P32:P52" si="17">IF(F32=0,0,ROUND(PRODUCT(F32/SUM(HOUR(N32),PRODUCT(MINUTE(N32)/60))),1))</f>
        <v>17.3</v>
      </c>
      <c r="Q32" s="18">
        <f t="shared" ref="Q32:Q52" si="18">SUM(N32,-J32)</f>
        <v>3.4027777777777768E-2</v>
      </c>
      <c r="R32" s="18">
        <f t="shared" ref="R32:R52" si="19">SUM(Q32,R31)</f>
        <v>2.5625000000000004</v>
      </c>
      <c r="S32">
        <v>1160</v>
      </c>
      <c r="T32">
        <v>1420</v>
      </c>
      <c r="U32" s="15">
        <f t="shared" ref="U32:U52" si="20">SUM(-S32,T32)</f>
        <v>260</v>
      </c>
      <c r="V32">
        <v>791</v>
      </c>
      <c r="W32" s="15">
        <f t="shared" ref="W32:W52" si="21">SUM(W31,V32)</f>
        <v>25436</v>
      </c>
      <c r="X32">
        <f t="shared" ref="X32:X52" si="22">SUM(S32,-T32,V32)</f>
        <v>531</v>
      </c>
      <c r="Y32" s="15">
        <f t="shared" ref="Y32:Y52" si="23">SUM(Y31,X32)</f>
        <v>25546</v>
      </c>
      <c r="Z32" s="15">
        <f t="shared" ref="Z32:Z52" si="24">SUM(V32,-X32)</f>
        <v>260</v>
      </c>
      <c r="AA32">
        <v>1460</v>
      </c>
      <c r="AB32">
        <v>1</v>
      </c>
      <c r="AC32" s="47">
        <v>7</v>
      </c>
      <c r="AE32" s="15"/>
      <c r="AF32" s="15">
        <v>20</v>
      </c>
      <c r="AG32" s="15">
        <v>32</v>
      </c>
      <c r="AH32" s="16">
        <f t="shared" ref="AH32:AH52" si="25">SUM(AG32,-AF32)</f>
        <v>12</v>
      </c>
    </row>
    <row r="33" spans="1:34" ht="13">
      <c r="A33" s="35" t="s">
        <v>55</v>
      </c>
      <c r="B33" s="37">
        <v>46026</v>
      </c>
      <c r="C33" s="40" t="s">
        <v>133</v>
      </c>
      <c r="D33" s="41"/>
      <c r="E33" s="42" t="s">
        <v>134</v>
      </c>
      <c r="F33" s="4">
        <v>169</v>
      </c>
      <c r="G33" s="14">
        <f t="shared" si="13"/>
        <v>3238</v>
      </c>
      <c r="H33">
        <f>ROUND(PRODUCT(G33/30),0)</f>
        <v>108</v>
      </c>
      <c r="I33">
        <f>ROUND(PRODUCT(G33/COUNT(F4:F33)),0)</f>
        <v>112</v>
      </c>
      <c r="J33" s="30">
        <v>0.34791666666666665</v>
      </c>
      <c r="K33" s="18">
        <f t="shared" si="14"/>
        <v>7.9062499999999991</v>
      </c>
      <c r="L33" s="34">
        <f t="shared" si="15"/>
        <v>20.2</v>
      </c>
      <c r="M33" s="26">
        <v>39.5</v>
      </c>
      <c r="N33" s="30">
        <v>0.5</v>
      </c>
      <c r="O33" s="18">
        <f t="shared" si="16"/>
        <v>10.620833333333337</v>
      </c>
      <c r="P33" s="34">
        <f t="shared" si="17"/>
        <v>14.1</v>
      </c>
      <c r="Q33" s="18">
        <f t="shared" si="18"/>
        <v>0.15208333333333335</v>
      </c>
      <c r="R33" s="18">
        <f t="shared" si="19"/>
        <v>2.7145833333333336</v>
      </c>
      <c r="S33">
        <v>1420</v>
      </c>
      <c r="T33">
        <v>1356</v>
      </c>
      <c r="U33" s="15">
        <f t="shared" si="20"/>
        <v>-64</v>
      </c>
      <c r="V33">
        <v>725</v>
      </c>
      <c r="W33" s="15">
        <f t="shared" si="21"/>
        <v>26161</v>
      </c>
      <c r="X33">
        <f t="shared" si="22"/>
        <v>789</v>
      </c>
      <c r="Y33" s="15">
        <f t="shared" si="23"/>
        <v>26335</v>
      </c>
      <c r="Z33" s="15">
        <f t="shared" si="24"/>
        <v>-64</v>
      </c>
      <c r="AA33">
        <v>1450</v>
      </c>
      <c r="AB33">
        <v>1</v>
      </c>
      <c r="AC33" s="47">
        <v>6</v>
      </c>
      <c r="AE33" s="15"/>
      <c r="AF33" s="15">
        <v>18</v>
      </c>
      <c r="AG33" s="15">
        <v>30</v>
      </c>
      <c r="AH33" s="16">
        <f t="shared" si="25"/>
        <v>12</v>
      </c>
    </row>
    <row r="34" spans="1:34" ht="13">
      <c r="A34" s="35" t="s">
        <v>56</v>
      </c>
      <c r="B34" s="37">
        <v>46027</v>
      </c>
      <c r="C34" s="40" t="s">
        <v>134</v>
      </c>
      <c r="D34" s="41" t="s">
        <v>135</v>
      </c>
      <c r="E34" s="42" t="s">
        <v>136</v>
      </c>
      <c r="F34" s="4">
        <v>70</v>
      </c>
      <c r="G34" s="14">
        <f t="shared" si="13"/>
        <v>3308</v>
      </c>
      <c r="H34">
        <f>ROUND(PRODUCT(G34/31),0)</f>
        <v>107</v>
      </c>
      <c r="I34">
        <f>ROUND(PRODUCT(G34/COUNT(F4:F34)),0)</f>
        <v>110</v>
      </c>
      <c r="J34" s="30">
        <v>0.1673611111111111</v>
      </c>
      <c r="K34" s="18">
        <f t="shared" si="14"/>
        <v>8.0736111111111111</v>
      </c>
      <c r="L34" s="34">
        <f t="shared" si="15"/>
        <v>17.399999999999999</v>
      </c>
      <c r="M34" s="26">
        <v>43.5</v>
      </c>
      <c r="N34" s="30">
        <v>0.29166666666666669</v>
      </c>
      <c r="O34" s="18">
        <f t="shared" si="16"/>
        <v>10.912500000000003</v>
      </c>
      <c r="P34" s="34">
        <f t="shared" si="17"/>
        <v>10</v>
      </c>
      <c r="Q34" s="18">
        <f t="shared" si="18"/>
        <v>0.12430555555555559</v>
      </c>
      <c r="R34" s="18">
        <f t="shared" si="19"/>
        <v>2.838888888888889</v>
      </c>
      <c r="S34">
        <v>1356</v>
      </c>
      <c r="T34">
        <v>1253</v>
      </c>
      <c r="U34" s="15">
        <f t="shared" si="20"/>
        <v>-103</v>
      </c>
      <c r="V34">
        <v>444</v>
      </c>
      <c r="W34" s="15">
        <f t="shared" si="21"/>
        <v>26605</v>
      </c>
      <c r="X34">
        <f t="shared" si="22"/>
        <v>547</v>
      </c>
      <c r="Y34" s="15">
        <f t="shared" si="23"/>
        <v>26882</v>
      </c>
      <c r="Z34" s="15">
        <f t="shared" si="24"/>
        <v>-103</v>
      </c>
      <c r="AA34">
        <v>1430</v>
      </c>
      <c r="AB34">
        <v>2</v>
      </c>
      <c r="AC34" s="47">
        <v>11</v>
      </c>
      <c r="AE34" s="15"/>
      <c r="AF34" s="15">
        <v>24</v>
      </c>
      <c r="AG34" s="15">
        <v>37</v>
      </c>
      <c r="AH34" s="16">
        <f t="shared" si="25"/>
        <v>13</v>
      </c>
    </row>
    <row r="35" spans="1:34" ht="13">
      <c r="A35" s="35" t="s">
        <v>57</v>
      </c>
      <c r="B35" s="37">
        <v>46028</v>
      </c>
      <c r="C35" s="40" t="s">
        <v>136</v>
      </c>
      <c r="D35" s="41" t="s">
        <v>137</v>
      </c>
      <c r="E35" s="42" t="s">
        <v>138</v>
      </c>
      <c r="F35" s="4">
        <v>122</v>
      </c>
      <c r="G35" s="14">
        <f t="shared" si="13"/>
        <v>3430</v>
      </c>
      <c r="H35">
        <f>ROUND(PRODUCT(G35/32),0)</f>
        <v>107</v>
      </c>
      <c r="I35">
        <f>ROUND(PRODUCT(G35/COUNT(F4:F35)),0)</f>
        <v>111</v>
      </c>
      <c r="J35" s="30">
        <v>0.27847222222222223</v>
      </c>
      <c r="K35" s="18">
        <f t="shared" si="14"/>
        <v>8.3520833333333329</v>
      </c>
      <c r="L35" s="34">
        <f t="shared" si="15"/>
        <v>18.3</v>
      </c>
      <c r="M35" s="26">
        <v>46</v>
      </c>
      <c r="N35" s="30">
        <v>0.39583333333333331</v>
      </c>
      <c r="O35" s="18">
        <f t="shared" si="16"/>
        <v>11.308333333333337</v>
      </c>
      <c r="P35" s="34">
        <f t="shared" si="17"/>
        <v>12.8</v>
      </c>
      <c r="Q35" s="18">
        <f t="shared" si="18"/>
        <v>0.11736111111111108</v>
      </c>
      <c r="R35" s="18">
        <f t="shared" si="19"/>
        <v>2.9562500000000003</v>
      </c>
      <c r="S35">
        <v>1253</v>
      </c>
      <c r="T35">
        <v>1385</v>
      </c>
      <c r="U35" s="15">
        <f t="shared" si="20"/>
        <v>132</v>
      </c>
      <c r="V35">
        <v>745</v>
      </c>
      <c r="W35" s="15">
        <f t="shared" si="21"/>
        <v>27350</v>
      </c>
      <c r="X35">
        <f t="shared" si="22"/>
        <v>613</v>
      </c>
      <c r="Y35" s="15">
        <f t="shared" si="23"/>
        <v>27495</v>
      </c>
      <c r="Z35" s="15">
        <f t="shared" si="24"/>
        <v>132</v>
      </c>
      <c r="AA35">
        <v>1490</v>
      </c>
      <c r="AB35">
        <v>2</v>
      </c>
      <c r="AC35" s="47">
        <v>16</v>
      </c>
      <c r="AE35" s="15"/>
      <c r="AF35" s="15">
        <v>26</v>
      </c>
      <c r="AG35" s="15">
        <v>36</v>
      </c>
      <c r="AH35" s="16">
        <f t="shared" si="25"/>
        <v>10</v>
      </c>
    </row>
    <row r="36" spans="1:34" ht="13">
      <c r="A36" s="35" t="s">
        <v>58</v>
      </c>
      <c r="B36" s="37">
        <v>46029</v>
      </c>
      <c r="C36" s="40" t="s">
        <v>138</v>
      </c>
      <c r="D36" s="41" t="s">
        <v>139</v>
      </c>
      <c r="E36" s="42" t="s">
        <v>140</v>
      </c>
      <c r="F36" s="4">
        <v>109</v>
      </c>
      <c r="G36" s="14">
        <f t="shared" si="13"/>
        <v>3539</v>
      </c>
      <c r="H36">
        <f>ROUND(PRODUCT(G36/33),0)</f>
        <v>107</v>
      </c>
      <c r="I36">
        <f>ROUND(PRODUCT(G36/COUNT(F4:F36)),0)</f>
        <v>111</v>
      </c>
      <c r="J36" s="30">
        <v>0.23125000000000001</v>
      </c>
      <c r="K36" s="18">
        <f t="shared" si="14"/>
        <v>8.5833333333333321</v>
      </c>
      <c r="L36" s="34">
        <f t="shared" si="15"/>
        <v>19.600000000000001</v>
      </c>
      <c r="M36" s="26">
        <v>40.5</v>
      </c>
      <c r="N36" s="30">
        <v>0.375</v>
      </c>
      <c r="O36" s="18">
        <f t="shared" si="16"/>
        <v>11.683333333333337</v>
      </c>
      <c r="P36" s="34">
        <f t="shared" si="17"/>
        <v>12.1</v>
      </c>
      <c r="Q36" s="18">
        <f t="shared" si="18"/>
        <v>0.14374999999999999</v>
      </c>
      <c r="R36" s="18">
        <f t="shared" si="19"/>
        <v>3.1</v>
      </c>
      <c r="S36">
        <v>1385</v>
      </c>
      <c r="T36">
        <v>993</v>
      </c>
      <c r="U36" s="15">
        <f t="shared" si="20"/>
        <v>-392</v>
      </c>
      <c r="V36">
        <v>193</v>
      </c>
      <c r="W36" s="15">
        <f t="shared" si="21"/>
        <v>27543</v>
      </c>
      <c r="X36">
        <f t="shared" si="22"/>
        <v>585</v>
      </c>
      <c r="Y36" s="15">
        <f t="shared" si="23"/>
        <v>28080</v>
      </c>
      <c r="Z36" s="15">
        <f t="shared" si="24"/>
        <v>-392</v>
      </c>
      <c r="AA36">
        <v>1385</v>
      </c>
      <c r="AB36">
        <v>1</v>
      </c>
      <c r="AC36" s="47">
        <v>11</v>
      </c>
      <c r="AE36" s="15"/>
      <c r="AF36" s="15">
        <v>28</v>
      </c>
      <c r="AG36" s="15">
        <v>40</v>
      </c>
      <c r="AH36" s="16">
        <f t="shared" si="25"/>
        <v>12</v>
      </c>
    </row>
    <row r="37" spans="1:34" ht="13">
      <c r="A37" s="35" t="s">
        <v>59</v>
      </c>
      <c r="B37" s="37">
        <v>46030</v>
      </c>
      <c r="C37" s="40" t="s">
        <v>140</v>
      </c>
      <c r="D37" s="41" t="s">
        <v>141</v>
      </c>
      <c r="E37" s="42" t="s">
        <v>142</v>
      </c>
      <c r="F37" s="4">
        <v>153</v>
      </c>
      <c r="G37" s="14">
        <f t="shared" si="13"/>
        <v>3692</v>
      </c>
      <c r="H37">
        <f>ROUND(PRODUCT(G37/34),0)</f>
        <v>109</v>
      </c>
      <c r="I37">
        <f>ROUND(PRODUCT(G37/COUNT(F4:F37)),0)</f>
        <v>112</v>
      </c>
      <c r="J37" s="30">
        <v>0.3034722222222222</v>
      </c>
      <c r="K37" s="18">
        <f t="shared" si="14"/>
        <v>8.8868055555555543</v>
      </c>
      <c r="L37" s="34">
        <f t="shared" si="15"/>
        <v>21</v>
      </c>
      <c r="M37" s="26">
        <v>32.5</v>
      </c>
      <c r="N37" s="30">
        <v>0.47916666666666669</v>
      </c>
      <c r="O37" s="18">
        <f t="shared" si="16"/>
        <v>12.162500000000003</v>
      </c>
      <c r="P37" s="34">
        <f t="shared" si="17"/>
        <v>13.3</v>
      </c>
      <c r="Q37" s="18">
        <f t="shared" si="18"/>
        <v>0.17569444444444449</v>
      </c>
      <c r="R37" s="18">
        <f t="shared" si="19"/>
        <v>3.2756944444444445</v>
      </c>
      <c r="S37">
        <v>993</v>
      </c>
      <c r="T37">
        <v>927</v>
      </c>
      <c r="U37" s="15">
        <f t="shared" si="20"/>
        <v>-66</v>
      </c>
      <c r="V37">
        <v>305</v>
      </c>
      <c r="W37" s="15">
        <f t="shared" si="21"/>
        <v>27848</v>
      </c>
      <c r="X37">
        <f t="shared" si="22"/>
        <v>371</v>
      </c>
      <c r="Y37" s="15">
        <f t="shared" si="23"/>
        <v>28451</v>
      </c>
      <c r="Z37" s="15">
        <f t="shared" si="24"/>
        <v>-66</v>
      </c>
      <c r="AA37">
        <v>1070</v>
      </c>
      <c r="AB37">
        <v>1</v>
      </c>
      <c r="AC37" s="47">
        <v>2</v>
      </c>
      <c r="AE37" s="15"/>
      <c r="AF37" s="15">
        <v>24</v>
      </c>
      <c r="AG37" s="15">
        <v>37</v>
      </c>
      <c r="AH37" s="16">
        <f t="shared" si="25"/>
        <v>13</v>
      </c>
    </row>
    <row r="38" spans="1:34" ht="13">
      <c r="A38" s="35" t="s">
        <v>60</v>
      </c>
      <c r="B38" s="37">
        <v>46031</v>
      </c>
      <c r="C38" s="40" t="s">
        <v>142</v>
      </c>
      <c r="D38" s="41" t="s">
        <v>143</v>
      </c>
      <c r="E38" s="42" t="s">
        <v>144</v>
      </c>
      <c r="F38" s="4">
        <v>151</v>
      </c>
      <c r="G38" s="14">
        <f t="shared" si="13"/>
        <v>3843</v>
      </c>
      <c r="H38">
        <f>ROUND(PRODUCT(G38/35),0)</f>
        <v>110</v>
      </c>
      <c r="I38">
        <f>ROUND(PRODUCT(G38/COUNT(F4:F38)),0)</f>
        <v>113</v>
      </c>
      <c r="J38" s="30">
        <v>0.33333333333333331</v>
      </c>
      <c r="K38" s="18">
        <f t="shared" si="14"/>
        <v>9.2201388888888882</v>
      </c>
      <c r="L38" s="34">
        <f t="shared" si="15"/>
        <v>18.899999999999999</v>
      </c>
      <c r="M38" s="26">
        <v>28.5</v>
      </c>
      <c r="N38" s="30">
        <v>0.41666666666666669</v>
      </c>
      <c r="O38" s="18">
        <f t="shared" si="16"/>
        <v>12.579166666666669</v>
      </c>
      <c r="P38" s="34">
        <f t="shared" si="17"/>
        <v>15.1</v>
      </c>
      <c r="Q38" s="18">
        <f t="shared" si="18"/>
        <v>8.333333333333337E-2</v>
      </c>
      <c r="R38" s="18">
        <f t="shared" si="19"/>
        <v>3.3590277777777779</v>
      </c>
      <c r="S38">
        <v>927</v>
      </c>
      <c r="T38">
        <v>980</v>
      </c>
      <c r="U38" s="15">
        <f t="shared" si="20"/>
        <v>53</v>
      </c>
      <c r="V38">
        <v>254</v>
      </c>
      <c r="W38" s="15">
        <f t="shared" si="21"/>
        <v>28102</v>
      </c>
      <c r="X38">
        <f t="shared" si="22"/>
        <v>201</v>
      </c>
      <c r="Y38" s="15">
        <f t="shared" si="23"/>
        <v>28652</v>
      </c>
      <c r="Z38" s="15">
        <f t="shared" si="24"/>
        <v>53</v>
      </c>
      <c r="AA38">
        <v>980</v>
      </c>
      <c r="AB38">
        <v>1</v>
      </c>
      <c r="AC38" s="47">
        <v>4</v>
      </c>
      <c r="AE38" s="15"/>
      <c r="AF38" s="15">
        <v>24</v>
      </c>
      <c r="AG38" s="15">
        <v>41</v>
      </c>
      <c r="AH38" s="16">
        <f t="shared" si="25"/>
        <v>17</v>
      </c>
    </row>
    <row r="39" spans="1:34" ht="13">
      <c r="A39" s="35" t="s">
        <v>61</v>
      </c>
      <c r="B39" s="37">
        <v>46032</v>
      </c>
      <c r="C39" s="40" t="s">
        <v>144</v>
      </c>
      <c r="D39" s="41"/>
      <c r="E39" s="42" t="s">
        <v>145</v>
      </c>
      <c r="F39" s="4">
        <v>157</v>
      </c>
      <c r="G39" s="14">
        <f t="shared" si="13"/>
        <v>4000</v>
      </c>
      <c r="H39">
        <f>ROUND(PRODUCT(G39/36),0)</f>
        <v>111</v>
      </c>
      <c r="I39">
        <f>ROUND(PRODUCT(G39/COUNT(F4:F39)),0)</f>
        <v>114</v>
      </c>
      <c r="J39" s="30">
        <v>0.40416666666666667</v>
      </c>
      <c r="K39" s="18">
        <f t="shared" si="14"/>
        <v>9.624305555555555</v>
      </c>
      <c r="L39" s="34">
        <f t="shared" si="15"/>
        <v>16.2</v>
      </c>
      <c r="M39" s="26">
        <v>33.5</v>
      </c>
      <c r="N39" s="30">
        <v>0.48958333333333331</v>
      </c>
      <c r="O39" s="18">
        <f t="shared" si="16"/>
        <v>13.068750000000003</v>
      </c>
      <c r="P39" s="34">
        <f t="shared" si="17"/>
        <v>13.4</v>
      </c>
      <c r="Q39" s="18">
        <f t="shared" si="18"/>
        <v>8.5416666666666641E-2</v>
      </c>
      <c r="R39" s="18">
        <f t="shared" si="19"/>
        <v>3.4444444444444446</v>
      </c>
      <c r="S39">
        <v>980</v>
      </c>
      <c r="T39">
        <v>1118</v>
      </c>
      <c r="U39" s="15">
        <f t="shared" si="20"/>
        <v>138</v>
      </c>
      <c r="V39">
        <v>785</v>
      </c>
      <c r="W39" s="15">
        <f t="shared" si="21"/>
        <v>28887</v>
      </c>
      <c r="X39">
        <f t="shared" si="22"/>
        <v>647</v>
      </c>
      <c r="Y39" s="15">
        <f t="shared" si="23"/>
        <v>29299</v>
      </c>
      <c r="Z39" s="15">
        <f t="shared" si="24"/>
        <v>138</v>
      </c>
      <c r="AA39">
        <v>1225</v>
      </c>
      <c r="AB39">
        <v>1</v>
      </c>
      <c r="AC39" s="47">
        <v>7</v>
      </c>
      <c r="AE39" s="15"/>
      <c r="AF39" s="15">
        <v>24</v>
      </c>
      <c r="AG39" s="15">
        <v>37</v>
      </c>
      <c r="AH39" s="16">
        <f t="shared" si="25"/>
        <v>13</v>
      </c>
    </row>
    <row r="40" spans="1:34" ht="13">
      <c r="A40" s="35" t="s">
        <v>62</v>
      </c>
      <c r="B40" s="37">
        <v>46033</v>
      </c>
      <c r="C40" s="40" t="s">
        <v>145</v>
      </c>
      <c r="D40" s="41" t="s">
        <v>146</v>
      </c>
      <c r="E40" s="42" t="s">
        <v>147</v>
      </c>
      <c r="F40" s="4">
        <v>132</v>
      </c>
      <c r="G40" s="14">
        <f t="shared" si="13"/>
        <v>4132</v>
      </c>
      <c r="H40">
        <f>ROUND(PRODUCT(G40/37),0)</f>
        <v>112</v>
      </c>
      <c r="I40">
        <f>ROUND(PRODUCT(G40/COUNT(F4:F40)),0)</f>
        <v>115</v>
      </c>
      <c r="J40" s="30">
        <v>0.29444444444444445</v>
      </c>
      <c r="K40" s="18">
        <f t="shared" si="14"/>
        <v>9.9187499999999993</v>
      </c>
      <c r="L40" s="34">
        <f t="shared" si="15"/>
        <v>18.7</v>
      </c>
      <c r="M40" s="26">
        <v>39</v>
      </c>
      <c r="N40" s="30">
        <v>0.38541666666666669</v>
      </c>
      <c r="O40" s="18">
        <f t="shared" si="16"/>
        <v>13.454166666666669</v>
      </c>
      <c r="P40" s="34">
        <f t="shared" si="17"/>
        <v>14.3</v>
      </c>
      <c r="Q40" s="18">
        <f t="shared" si="18"/>
        <v>9.0972222222222232E-2</v>
      </c>
      <c r="R40" s="18">
        <f t="shared" si="19"/>
        <v>3.5354166666666669</v>
      </c>
      <c r="S40">
        <v>1118</v>
      </c>
      <c r="T40">
        <v>938</v>
      </c>
      <c r="U40" s="15">
        <f t="shared" si="20"/>
        <v>-180</v>
      </c>
      <c r="V40">
        <v>330</v>
      </c>
      <c r="W40" s="15">
        <f t="shared" si="21"/>
        <v>29217</v>
      </c>
      <c r="X40">
        <f t="shared" si="22"/>
        <v>510</v>
      </c>
      <c r="Y40" s="15">
        <f t="shared" si="23"/>
        <v>29809</v>
      </c>
      <c r="Z40" s="15">
        <f t="shared" si="24"/>
        <v>-180</v>
      </c>
      <c r="AA40">
        <v>1134</v>
      </c>
      <c r="AB40">
        <v>1</v>
      </c>
      <c r="AC40" s="47">
        <v>4</v>
      </c>
      <c r="AE40" s="15"/>
      <c r="AF40" s="15">
        <v>21</v>
      </c>
      <c r="AG40" s="15">
        <v>35</v>
      </c>
      <c r="AH40" s="16">
        <f t="shared" si="25"/>
        <v>14</v>
      </c>
    </row>
    <row r="41" spans="1:34" ht="13">
      <c r="A41" s="35" t="s">
        <v>63</v>
      </c>
      <c r="B41" s="37">
        <v>46034</v>
      </c>
      <c r="C41" s="40" t="s">
        <v>147</v>
      </c>
      <c r="D41" s="41" t="s">
        <v>148</v>
      </c>
      <c r="E41" s="42" t="s">
        <v>149</v>
      </c>
      <c r="F41" s="4">
        <v>109</v>
      </c>
      <c r="G41" s="14">
        <f>SUM(G40,F41)</f>
        <v>4241</v>
      </c>
      <c r="H41">
        <f>ROUND(PRODUCT(G41/38),0)</f>
        <v>112</v>
      </c>
      <c r="I41">
        <f>ROUND(PRODUCT(G41/COUNT(F4:F41)),0)</f>
        <v>115</v>
      </c>
      <c r="J41" s="30">
        <v>0.30972222222222223</v>
      </c>
      <c r="K41" s="18">
        <f>SUM(J41,K40)</f>
        <v>10.228472222222221</v>
      </c>
      <c r="L41" s="34">
        <f>IF(F41=0,0,ROUND(PRODUCT(F41/SUM(HOUR(J41),PRODUCT(MINUTE(J41)/60))),1))</f>
        <v>14.7</v>
      </c>
      <c r="M41" s="26">
        <v>49</v>
      </c>
      <c r="N41" s="30">
        <v>0.40625</v>
      </c>
      <c r="O41" s="18">
        <f>SUM(N41,O40)</f>
        <v>13.860416666666669</v>
      </c>
      <c r="P41" s="34">
        <f>IF(F41=0,0,ROUND(PRODUCT(F41/SUM(HOUR(N41),PRODUCT(MINUTE(N41)/60))),1))</f>
        <v>11.2</v>
      </c>
      <c r="Q41" s="18">
        <f>SUM(N41,-J41)</f>
        <v>9.6527777777777768E-2</v>
      </c>
      <c r="R41" s="18">
        <f>SUM(Q41,R40)</f>
        <v>3.6319444444444446</v>
      </c>
      <c r="S41">
        <v>938</v>
      </c>
      <c r="T41">
        <v>1880</v>
      </c>
      <c r="U41" s="15">
        <f>SUM(-S41,T41)</f>
        <v>942</v>
      </c>
      <c r="V41">
        <v>1340</v>
      </c>
      <c r="W41" s="15">
        <f>SUM(W40,V41)</f>
        <v>30557</v>
      </c>
      <c r="X41">
        <f>SUM(S41,-T41,V41)</f>
        <v>398</v>
      </c>
      <c r="Y41" s="15">
        <f>SUM(Y40,X41)</f>
        <v>30207</v>
      </c>
      <c r="Z41" s="15">
        <f>SUM(V41,-X41)</f>
        <v>942</v>
      </c>
      <c r="AA41">
        <v>1943</v>
      </c>
      <c r="AB41">
        <v>2</v>
      </c>
      <c r="AC41" s="47">
        <v>7</v>
      </c>
      <c r="AE41" s="15"/>
      <c r="AF41" s="15">
        <v>16</v>
      </c>
      <c r="AG41" s="15">
        <v>29</v>
      </c>
      <c r="AH41" s="16">
        <f>SUM(AG41,-AF41)</f>
        <v>13</v>
      </c>
    </row>
    <row r="42" spans="1:34" ht="13">
      <c r="A42" s="35" t="s">
        <v>64</v>
      </c>
      <c r="B42" s="37">
        <v>46035</v>
      </c>
      <c r="C42" s="40" t="s">
        <v>149</v>
      </c>
      <c r="D42" s="41" t="s">
        <v>150</v>
      </c>
      <c r="E42" s="42" t="s">
        <v>151</v>
      </c>
      <c r="F42" s="4">
        <v>124</v>
      </c>
      <c r="G42" s="14">
        <f t="shared" si="13"/>
        <v>4365</v>
      </c>
      <c r="H42">
        <f>ROUND(PRODUCT(G42/39),0)</f>
        <v>112</v>
      </c>
      <c r="I42">
        <f>ROUND(PRODUCT(G42/COUNT(F33:F42)),0)</f>
        <v>437</v>
      </c>
      <c r="J42" s="30">
        <v>0.30069444444444443</v>
      </c>
      <c r="K42" s="18">
        <f t="shared" si="14"/>
        <v>10.529166666666665</v>
      </c>
      <c r="L42" s="34">
        <f t="shared" si="15"/>
        <v>17.2</v>
      </c>
      <c r="M42" s="26">
        <v>52.5</v>
      </c>
      <c r="N42" s="30">
        <v>0.38541666666666669</v>
      </c>
      <c r="O42" s="18">
        <f t="shared" si="16"/>
        <v>14.245833333333335</v>
      </c>
      <c r="P42" s="34">
        <f t="shared" si="17"/>
        <v>13.4</v>
      </c>
      <c r="Q42" s="18">
        <f t="shared" si="18"/>
        <v>8.4722222222222254E-2</v>
      </c>
      <c r="R42" s="18">
        <f t="shared" si="19"/>
        <v>3.7166666666666668</v>
      </c>
      <c r="S42">
        <v>1880</v>
      </c>
      <c r="T42">
        <v>1637</v>
      </c>
      <c r="U42" s="15">
        <f t="shared" si="20"/>
        <v>-243</v>
      </c>
      <c r="V42">
        <v>972</v>
      </c>
      <c r="W42" s="15">
        <f t="shared" si="21"/>
        <v>31529</v>
      </c>
      <c r="X42">
        <f t="shared" si="22"/>
        <v>1215</v>
      </c>
      <c r="Y42" s="15">
        <f t="shared" si="23"/>
        <v>31422</v>
      </c>
      <c r="Z42" s="15">
        <f t="shared" si="24"/>
        <v>-243</v>
      </c>
      <c r="AA42">
        <v>1940</v>
      </c>
      <c r="AB42">
        <v>2</v>
      </c>
      <c r="AC42" s="47">
        <v>7</v>
      </c>
      <c r="AE42" s="15"/>
      <c r="AF42" s="15">
        <v>15</v>
      </c>
      <c r="AG42" s="15">
        <v>27</v>
      </c>
      <c r="AH42" s="16">
        <f t="shared" si="25"/>
        <v>12</v>
      </c>
    </row>
    <row r="43" spans="1:34" ht="13">
      <c r="A43" s="35" t="s">
        <v>65</v>
      </c>
      <c r="B43" s="37">
        <v>46036</v>
      </c>
      <c r="C43" s="40" t="s">
        <v>151</v>
      </c>
      <c r="D43" s="41" t="s">
        <v>152</v>
      </c>
      <c r="E43" s="42" t="s">
        <v>153</v>
      </c>
      <c r="F43" s="4">
        <v>98</v>
      </c>
      <c r="G43" s="14">
        <f t="shared" si="13"/>
        <v>4463</v>
      </c>
      <c r="H43">
        <f>ROUND(PRODUCT(G43/40),0)</f>
        <v>112</v>
      </c>
      <c r="I43">
        <f>ROUND(PRODUCT(G43/COUNT(F4:F43)),0)</f>
        <v>114</v>
      </c>
      <c r="J43" s="30">
        <v>0.2638888888888889</v>
      </c>
      <c r="K43" s="18">
        <f t="shared" si="14"/>
        <v>10.793055555555554</v>
      </c>
      <c r="L43" s="34">
        <f t="shared" si="15"/>
        <v>15.5</v>
      </c>
      <c r="M43" s="26">
        <v>63</v>
      </c>
      <c r="N43" s="30">
        <v>0.375</v>
      </c>
      <c r="O43" s="18">
        <f t="shared" si="16"/>
        <v>14.620833333333335</v>
      </c>
      <c r="P43" s="34">
        <f t="shared" si="17"/>
        <v>10.9</v>
      </c>
      <c r="Q43" s="18">
        <f t="shared" si="18"/>
        <v>0.1111111111111111</v>
      </c>
      <c r="R43" s="18">
        <f t="shared" si="19"/>
        <v>3.8277777777777779</v>
      </c>
      <c r="S43">
        <v>1637</v>
      </c>
      <c r="T43">
        <v>611</v>
      </c>
      <c r="U43" s="15">
        <f t="shared" si="20"/>
        <v>-1026</v>
      </c>
      <c r="V43">
        <v>1090</v>
      </c>
      <c r="W43" s="15">
        <f t="shared" si="21"/>
        <v>32619</v>
      </c>
      <c r="X43">
        <f t="shared" si="22"/>
        <v>2116</v>
      </c>
      <c r="Y43" s="15">
        <f t="shared" si="23"/>
        <v>33538</v>
      </c>
      <c r="Z43" s="15">
        <f t="shared" si="24"/>
        <v>-1026</v>
      </c>
      <c r="AA43">
        <v>1700</v>
      </c>
      <c r="AB43">
        <v>3</v>
      </c>
      <c r="AC43" s="47">
        <v>11</v>
      </c>
      <c r="AE43" s="15"/>
      <c r="AF43" s="15">
        <v>22</v>
      </c>
      <c r="AG43" s="15">
        <v>23</v>
      </c>
      <c r="AH43" s="16">
        <f t="shared" si="25"/>
        <v>1</v>
      </c>
    </row>
    <row r="44" spans="1:34" ht="13">
      <c r="A44" s="35" t="s">
        <v>75</v>
      </c>
      <c r="B44" s="37">
        <v>46037</v>
      </c>
      <c r="C44" s="40" t="s">
        <v>153</v>
      </c>
      <c r="D44" s="41" t="s">
        <v>154</v>
      </c>
      <c r="E44" s="42" t="s">
        <v>155</v>
      </c>
      <c r="F44" s="4">
        <v>80</v>
      </c>
      <c r="G44" s="14">
        <f t="shared" si="13"/>
        <v>4543</v>
      </c>
      <c r="H44">
        <f>ROUND(PRODUCT(G44/41),0)</f>
        <v>111</v>
      </c>
      <c r="I44">
        <f>ROUND(PRODUCT(G44/COUNT(F4:F44)),0)</f>
        <v>114</v>
      </c>
      <c r="J44" s="30">
        <v>0.19305555555555556</v>
      </c>
      <c r="K44" s="18">
        <f t="shared" si="14"/>
        <v>10.986111111111111</v>
      </c>
      <c r="L44" s="34">
        <f t="shared" si="15"/>
        <v>17.3</v>
      </c>
      <c r="M44" s="26">
        <v>47</v>
      </c>
      <c r="N44" s="30">
        <v>0.25</v>
      </c>
      <c r="O44" s="18">
        <f t="shared" si="16"/>
        <v>14.870833333333335</v>
      </c>
      <c r="P44" s="34">
        <f t="shared" si="17"/>
        <v>13.3</v>
      </c>
      <c r="Q44" s="18">
        <f t="shared" si="18"/>
        <v>5.6944444444444436E-2</v>
      </c>
      <c r="R44" s="18">
        <f t="shared" si="19"/>
        <v>3.8847222222222224</v>
      </c>
      <c r="S44">
        <v>611</v>
      </c>
      <c r="T44">
        <v>113</v>
      </c>
      <c r="U44" s="15">
        <f t="shared" si="20"/>
        <v>-498</v>
      </c>
      <c r="V44">
        <v>712</v>
      </c>
      <c r="W44" s="15">
        <f t="shared" si="21"/>
        <v>33331</v>
      </c>
      <c r="X44">
        <f t="shared" si="22"/>
        <v>1210</v>
      </c>
      <c r="Y44" s="15">
        <f t="shared" si="23"/>
        <v>34748</v>
      </c>
      <c r="Z44" s="15">
        <f t="shared" si="24"/>
        <v>-498</v>
      </c>
      <c r="AA44">
        <v>300</v>
      </c>
      <c r="AB44">
        <v>3</v>
      </c>
      <c r="AC44" s="47">
        <v>9</v>
      </c>
      <c r="AE44" s="15"/>
      <c r="AF44" s="15">
        <v>22</v>
      </c>
      <c r="AG44" s="15">
        <v>27</v>
      </c>
      <c r="AH44" s="16">
        <f t="shared" si="25"/>
        <v>5</v>
      </c>
    </row>
    <row r="45" spans="1:34" ht="13">
      <c r="A45" s="35" t="s">
        <v>76</v>
      </c>
      <c r="B45" s="37">
        <v>46038</v>
      </c>
      <c r="C45" s="40" t="s">
        <v>155</v>
      </c>
      <c r="D45" s="41" t="s">
        <v>156</v>
      </c>
      <c r="E45" s="42" t="s">
        <v>157</v>
      </c>
      <c r="F45" s="4">
        <v>108</v>
      </c>
      <c r="G45" s="14">
        <f t="shared" si="13"/>
        <v>4651</v>
      </c>
      <c r="H45">
        <f>ROUND(PRODUCT(G45/42),0)</f>
        <v>111</v>
      </c>
      <c r="I45">
        <f>ROUND(PRODUCT(G45/COUNT(F4:F45)),0)</f>
        <v>113</v>
      </c>
      <c r="J45" s="30">
        <v>0.29375000000000001</v>
      </c>
      <c r="K45" s="18">
        <f t="shared" si="14"/>
        <v>11.27986111111111</v>
      </c>
      <c r="L45" s="34">
        <f t="shared" si="15"/>
        <v>15.3</v>
      </c>
      <c r="M45" s="26">
        <v>48</v>
      </c>
      <c r="N45" s="30">
        <v>0.3888888888888889</v>
      </c>
      <c r="O45" s="18">
        <f t="shared" si="16"/>
        <v>15.259722222222225</v>
      </c>
      <c r="P45" s="34">
        <f t="shared" si="17"/>
        <v>11.6</v>
      </c>
      <c r="Q45" s="18">
        <f t="shared" si="18"/>
        <v>9.5138888888888884E-2</v>
      </c>
      <c r="R45" s="18">
        <f t="shared" si="19"/>
        <v>3.9798611111111111</v>
      </c>
      <c r="S45">
        <v>113</v>
      </c>
      <c r="T45">
        <v>127</v>
      </c>
      <c r="U45" s="15">
        <f t="shared" si="20"/>
        <v>14</v>
      </c>
      <c r="V45">
        <v>763</v>
      </c>
      <c r="W45" s="15">
        <f t="shared" si="21"/>
        <v>34094</v>
      </c>
      <c r="X45">
        <f t="shared" si="22"/>
        <v>749</v>
      </c>
      <c r="Y45" s="15">
        <f t="shared" si="23"/>
        <v>35497</v>
      </c>
      <c r="Z45" s="15">
        <f t="shared" si="24"/>
        <v>14</v>
      </c>
      <c r="AA45">
        <v>310</v>
      </c>
      <c r="AB45">
        <v>2</v>
      </c>
      <c r="AC45" s="47">
        <v>14</v>
      </c>
      <c r="AE45" s="15"/>
      <c r="AF45" s="15">
        <v>23</v>
      </c>
      <c r="AG45" s="15">
        <v>25</v>
      </c>
      <c r="AH45" s="16">
        <f t="shared" si="25"/>
        <v>2</v>
      </c>
    </row>
    <row r="46" spans="1:34" ht="13">
      <c r="A46" s="35" t="s">
        <v>77</v>
      </c>
      <c r="B46" s="37">
        <v>46039</v>
      </c>
      <c r="C46" s="40" t="s">
        <v>157</v>
      </c>
      <c r="D46" s="41"/>
      <c r="E46" s="42" t="s">
        <v>158</v>
      </c>
      <c r="F46" s="4">
        <v>95</v>
      </c>
      <c r="G46" s="14">
        <f t="shared" si="13"/>
        <v>4746</v>
      </c>
      <c r="H46">
        <f>ROUND(PRODUCT(G46/43),0)</f>
        <v>110</v>
      </c>
      <c r="I46">
        <f>ROUND(PRODUCT(G46/COUNT(F4:F46)),0)</f>
        <v>113</v>
      </c>
      <c r="J46" s="30">
        <v>0.22500000000000001</v>
      </c>
      <c r="K46" s="18">
        <f t="shared" si="14"/>
        <v>11.50486111111111</v>
      </c>
      <c r="L46" s="34">
        <f t="shared" si="15"/>
        <v>17.600000000000001</v>
      </c>
      <c r="M46" s="26">
        <v>41</v>
      </c>
      <c r="N46" s="30">
        <v>0.29166666666666669</v>
      </c>
      <c r="O46" s="18">
        <f t="shared" si="16"/>
        <v>15.551388888888891</v>
      </c>
      <c r="P46" s="34">
        <f t="shared" si="17"/>
        <v>13.6</v>
      </c>
      <c r="Q46" s="18">
        <f t="shared" si="18"/>
        <v>6.666666666666668E-2</v>
      </c>
      <c r="R46" s="18">
        <f t="shared" si="19"/>
        <v>4.0465277777777775</v>
      </c>
      <c r="S46">
        <v>127</v>
      </c>
      <c r="T46">
        <v>101</v>
      </c>
      <c r="U46" s="15">
        <f t="shared" si="20"/>
        <v>-26</v>
      </c>
      <c r="V46">
        <v>544</v>
      </c>
      <c r="W46" s="15">
        <f t="shared" si="21"/>
        <v>34638</v>
      </c>
      <c r="X46">
        <f t="shared" si="22"/>
        <v>570</v>
      </c>
      <c r="Y46" s="15">
        <f t="shared" si="23"/>
        <v>36067</v>
      </c>
      <c r="Z46" s="15">
        <f t="shared" si="24"/>
        <v>-26</v>
      </c>
      <c r="AA46">
        <v>220</v>
      </c>
      <c r="AB46">
        <v>1</v>
      </c>
      <c r="AC46" s="47">
        <v>4</v>
      </c>
      <c r="AE46" s="15"/>
      <c r="AF46" s="15">
        <v>24</v>
      </c>
      <c r="AG46" s="15">
        <v>29</v>
      </c>
      <c r="AH46" s="16">
        <f t="shared" si="25"/>
        <v>5</v>
      </c>
    </row>
    <row r="47" spans="1:34" ht="13">
      <c r="A47" s="35" t="s">
        <v>78</v>
      </c>
      <c r="B47" s="37">
        <v>46040</v>
      </c>
      <c r="C47" s="40" t="s">
        <v>158</v>
      </c>
      <c r="D47" s="41"/>
      <c r="E47" s="42" t="s">
        <v>159</v>
      </c>
      <c r="F47" s="4">
        <v>88</v>
      </c>
      <c r="G47" s="14">
        <f t="shared" si="13"/>
        <v>4834</v>
      </c>
      <c r="H47">
        <f>ROUND(PRODUCT(G47/44),0)</f>
        <v>110</v>
      </c>
      <c r="I47">
        <f>ROUND(PRODUCT(G47/COUNT(F4:F47)),0)</f>
        <v>112</v>
      </c>
      <c r="J47" s="30">
        <v>0.23541666666666666</v>
      </c>
      <c r="K47" s="18">
        <f t="shared" si="14"/>
        <v>11.740277777777777</v>
      </c>
      <c r="L47" s="34">
        <f t="shared" si="15"/>
        <v>15.6</v>
      </c>
      <c r="M47" s="26">
        <v>42.8</v>
      </c>
      <c r="N47" s="30">
        <v>0.3125</v>
      </c>
      <c r="O47" s="18">
        <f t="shared" si="16"/>
        <v>15.863888888888891</v>
      </c>
      <c r="P47" s="34">
        <f t="shared" si="17"/>
        <v>11.7</v>
      </c>
      <c r="Q47" s="18">
        <f t="shared" si="18"/>
        <v>7.7083333333333337E-2</v>
      </c>
      <c r="R47" s="18">
        <f t="shared" si="19"/>
        <v>4.1236111111111109</v>
      </c>
      <c r="S47">
        <v>101</v>
      </c>
      <c r="T47">
        <v>86</v>
      </c>
      <c r="U47" s="15">
        <f t="shared" si="20"/>
        <v>-15</v>
      </c>
      <c r="V47">
        <v>521</v>
      </c>
      <c r="W47" s="15">
        <f t="shared" si="21"/>
        <v>35159</v>
      </c>
      <c r="X47">
        <f t="shared" si="22"/>
        <v>536</v>
      </c>
      <c r="Y47" s="15">
        <f t="shared" si="23"/>
        <v>36603</v>
      </c>
      <c r="Z47" s="15">
        <f t="shared" si="24"/>
        <v>-15</v>
      </c>
      <c r="AA47">
        <v>110</v>
      </c>
      <c r="AB47">
        <v>1</v>
      </c>
      <c r="AC47" s="47">
        <v>4</v>
      </c>
      <c r="AE47" s="15"/>
      <c r="AF47" s="15">
        <v>24</v>
      </c>
      <c r="AG47" s="15">
        <v>28</v>
      </c>
      <c r="AH47" s="16">
        <f t="shared" si="25"/>
        <v>4</v>
      </c>
    </row>
    <row r="48" spans="1:34" ht="13">
      <c r="A48" s="35" t="s">
        <v>79</v>
      </c>
      <c r="B48" s="37">
        <v>46041</v>
      </c>
      <c r="C48" s="40" t="s">
        <v>159</v>
      </c>
      <c r="D48" s="41" t="s">
        <v>160</v>
      </c>
      <c r="E48" s="42" t="s">
        <v>161</v>
      </c>
      <c r="F48" s="4">
        <v>106</v>
      </c>
      <c r="G48" s="14">
        <f t="shared" si="13"/>
        <v>4940</v>
      </c>
      <c r="H48">
        <f>ROUND(PRODUCT(G48/45),0)</f>
        <v>110</v>
      </c>
      <c r="I48">
        <f>ROUND(PRODUCT(G48/COUNT(F4:F48)),0)</f>
        <v>112</v>
      </c>
      <c r="J48" s="30">
        <v>0.25555555555555554</v>
      </c>
      <c r="K48" s="18">
        <f t="shared" si="14"/>
        <v>11.995833333333334</v>
      </c>
      <c r="L48" s="34">
        <f t="shared" si="15"/>
        <v>17.3</v>
      </c>
      <c r="M48" s="26">
        <v>40</v>
      </c>
      <c r="N48" s="30">
        <v>0.33333333333333331</v>
      </c>
      <c r="O48" s="18">
        <f t="shared" si="16"/>
        <v>16.197222222222223</v>
      </c>
      <c r="P48" s="34">
        <f t="shared" si="17"/>
        <v>13.3</v>
      </c>
      <c r="Q48" s="18">
        <f t="shared" si="18"/>
        <v>7.7777777777777779E-2</v>
      </c>
      <c r="R48" s="18">
        <f t="shared" si="19"/>
        <v>4.2013888888888884</v>
      </c>
      <c r="S48">
        <v>86</v>
      </c>
      <c r="T48">
        <v>77</v>
      </c>
      <c r="U48" s="15">
        <f t="shared" si="20"/>
        <v>-9</v>
      </c>
      <c r="V48">
        <v>881</v>
      </c>
      <c r="W48" s="15">
        <f t="shared" si="21"/>
        <v>36040</v>
      </c>
      <c r="X48">
        <f t="shared" si="22"/>
        <v>890</v>
      </c>
      <c r="Y48" s="15">
        <f t="shared" si="23"/>
        <v>37493</v>
      </c>
      <c r="Z48" s="15">
        <f t="shared" si="24"/>
        <v>-9</v>
      </c>
      <c r="AA48">
        <v>120</v>
      </c>
      <c r="AB48">
        <v>2</v>
      </c>
      <c r="AC48" s="47">
        <v>9</v>
      </c>
      <c r="AE48" s="15"/>
      <c r="AF48" s="15">
        <v>22</v>
      </c>
      <c r="AG48" s="15">
        <v>29</v>
      </c>
      <c r="AH48" s="16">
        <f t="shared" si="25"/>
        <v>7</v>
      </c>
    </row>
    <row r="49" spans="1:34" ht="13">
      <c r="A49" s="35" t="s">
        <v>80</v>
      </c>
      <c r="B49" s="37">
        <v>46042</v>
      </c>
      <c r="C49" s="40" t="s">
        <v>162</v>
      </c>
      <c r="D49" s="41"/>
      <c r="E49" s="42" t="s">
        <v>163</v>
      </c>
      <c r="F49" s="4">
        <v>20</v>
      </c>
      <c r="G49" s="14">
        <f t="shared" si="13"/>
        <v>4960</v>
      </c>
      <c r="H49">
        <f>ROUND(PRODUCT(G49/46),0)</f>
        <v>108</v>
      </c>
      <c r="I49">
        <f>ROUND(PRODUCT(G49/COUNT(F4:F49)),0)</f>
        <v>110</v>
      </c>
      <c r="J49" s="30">
        <v>4.3749999999999997E-2</v>
      </c>
      <c r="K49" s="18">
        <f t="shared" si="14"/>
        <v>12.039583333333333</v>
      </c>
      <c r="L49" s="34">
        <f t="shared" si="15"/>
        <v>19</v>
      </c>
      <c r="M49" s="26">
        <v>60</v>
      </c>
      <c r="N49" s="30">
        <v>4.8611111111111112E-2</v>
      </c>
      <c r="O49" s="18">
        <f t="shared" si="16"/>
        <v>16.245833333333334</v>
      </c>
      <c r="P49" s="34">
        <f t="shared" si="17"/>
        <v>17.100000000000001</v>
      </c>
      <c r="Q49" s="18">
        <f t="shared" si="18"/>
        <v>4.8611111111111147E-3</v>
      </c>
      <c r="R49" s="18">
        <f t="shared" si="19"/>
        <v>4.2062499999999998</v>
      </c>
      <c r="S49">
        <v>1550</v>
      </c>
      <c r="T49">
        <v>1550</v>
      </c>
      <c r="U49" s="15">
        <f t="shared" si="20"/>
        <v>0</v>
      </c>
      <c r="V49">
        <v>224</v>
      </c>
      <c r="W49" s="15">
        <f t="shared" si="21"/>
        <v>36264</v>
      </c>
      <c r="X49">
        <f t="shared" si="22"/>
        <v>224</v>
      </c>
      <c r="Y49" s="15">
        <f t="shared" si="23"/>
        <v>37717</v>
      </c>
      <c r="Z49" s="15">
        <f t="shared" si="24"/>
        <v>0</v>
      </c>
      <c r="AA49">
        <v>1550</v>
      </c>
      <c r="AB49">
        <v>3</v>
      </c>
      <c r="AC49" s="47">
        <v>9</v>
      </c>
      <c r="AE49" s="15"/>
      <c r="AF49" s="15">
        <v>19</v>
      </c>
      <c r="AG49" s="15">
        <v>30</v>
      </c>
      <c r="AH49" s="16">
        <f t="shared" si="25"/>
        <v>11</v>
      </c>
    </row>
    <row r="50" spans="1:34" ht="13">
      <c r="A50" s="35" t="s">
        <v>81</v>
      </c>
      <c r="B50" s="37">
        <v>46043</v>
      </c>
      <c r="C50" s="40" t="s">
        <v>163</v>
      </c>
      <c r="D50" s="41" t="s">
        <v>167</v>
      </c>
      <c r="E50" s="42" t="s">
        <v>162</v>
      </c>
      <c r="F50" s="4">
        <v>70</v>
      </c>
      <c r="G50" s="14">
        <f t="shared" si="13"/>
        <v>5030</v>
      </c>
      <c r="H50">
        <f>ROUND(PRODUCT(G50/47),0)</f>
        <v>107</v>
      </c>
      <c r="I50">
        <f>ROUND(PRODUCT(G50/COUNT(F4:F50)),0)</f>
        <v>109</v>
      </c>
      <c r="J50" s="30">
        <v>0.27083333333333331</v>
      </c>
      <c r="K50" s="18">
        <f t="shared" si="14"/>
        <v>12.310416666666667</v>
      </c>
      <c r="L50" s="34">
        <f t="shared" si="15"/>
        <v>10.8</v>
      </c>
      <c r="M50" s="26">
        <v>53</v>
      </c>
      <c r="N50" s="30">
        <v>0.40625</v>
      </c>
      <c r="O50" s="18">
        <f t="shared" si="16"/>
        <v>16.652083333333334</v>
      </c>
      <c r="P50" s="34">
        <f t="shared" si="17"/>
        <v>7.2</v>
      </c>
      <c r="Q50" s="18">
        <f t="shared" si="18"/>
        <v>0.13541666666666669</v>
      </c>
      <c r="R50" s="18">
        <f t="shared" si="19"/>
        <v>4.3416666666666668</v>
      </c>
      <c r="S50">
        <v>1550</v>
      </c>
      <c r="T50">
        <v>1550</v>
      </c>
      <c r="U50" s="15">
        <f t="shared" si="20"/>
        <v>0</v>
      </c>
      <c r="V50">
        <v>1600</v>
      </c>
      <c r="W50" s="15">
        <f t="shared" si="21"/>
        <v>37864</v>
      </c>
      <c r="X50">
        <f t="shared" si="22"/>
        <v>1600</v>
      </c>
      <c r="Y50" s="15">
        <f t="shared" si="23"/>
        <v>39317</v>
      </c>
      <c r="Z50" s="15">
        <f t="shared" si="24"/>
        <v>0</v>
      </c>
      <c r="AA50">
        <v>2873</v>
      </c>
      <c r="AB50">
        <v>7</v>
      </c>
      <c r="AC50" s="47">
        <v>20</v>
      </c>
      <c r="AE50" s="15"/>
      <c r="AF50" s="15">
        <v>17</v>
      </c>
      <c r="AG50" s="15">
        <v>30</v>
      </c>
      <c r="AH50" s="16">
        <f t="shared" si="25"/>
        <v>13</v>
      </c>
    </row>
    <row r="51" spans="1:34" ht="13">
      <c r="A51" s="35" t="s">
        <v>82</v>
      </c>
      <c r="B51" s="37">
        <v>46044</v>
      </c>
      <c r="C51" s="40" t="s">
        <v>162</v>
      </c>
      <c r="D51" s="41" t="s">
        <v>164</v>
      </c>
      <c r="E51" s="42" t="s">
        <v>165</v>
      </c>
      <c r="F51" s="4">
        <v>179</v>
      </c>
      <c r="G51" s="14">
        <f t="shared" si="13"/>
        <v>5209</v>
      </c>
      <c r="H51">
        <f>ROUND(PRODUCT(G51/48),0)</f>
        <v>109</v>
      </c>
      <c r="I51">
        <f>ROUND(PRODUCT(G51/COUNT(F4:F51)),0)</f>
        <v>111</v>
      </c>
      <c r="J51" s="30">
        <v>0.41111111111111109</v>
      </c>
      <c r="K51" s="18">
        <f t="shared" si="14"/>
        <v>12.721527777777778</v>
      </c>
      <c r="L51" s="34">
        <f t="shared" si="15"/>
        <v>18.100000000000001</v>
      </c>
      <c r="M51" s="26">
        <v>63</v>
      </c>
      <c r="N51" s="30">
        <v>0.51388888888888884</v>
      </c>
      <c r="O51" s="18">
        <f t="shared" si="16"/>
        <v>17.165972222222223</v>
      </c>
      <c r="P51" s="34">
        <f t="shared" si="17"/>
        <v>14.5</v>
      </c>
      <c r="Q51" s="18">
        <f t="shared" si="18"/>
        <v>0.10277777777777775</v>
      </c>
      <c r="R51" s="18">
        <f t="shared" si="19"/>
        <v>4.4444444444444446</v>
      </c>
      <c r="S51">
        <v>1550</v>
      </c>
      <c r="T51">
        <v>47</v>
      </c>
      <c r="U51" s="15">
        <f t="shared" si="20"/>
        <v>-1503</v>
      </c>
      <c r="V51">
        <v>2043</v>
      </c>
      <c r="W51" s="15">
        <f t="shared" si="21"/>
        <v>39907</v>
      </c>
      <c r="X51">
        <f t="shared" si="22"/>
        <v>3546</v>
      </c>
      <c r="Y51" s="15">
        <f t="shared" si="23"/>
        <v>42863</v>
      </c>
      <c r="Z51" s="15">
        <f t="shared" si="24"/>
        <v>-1503</v>
      </c>
      <c r="AA51">
        <v>1650</v>
      </c>
      <c r="AB51">
        <v>3</v>
      </c>
      <c r="AC51" s="47">
        <v>11</v>
      </c>
      <c r="AE51" s="15"/>
      <c r="AF51" s="15">
        <v>18</v>
      </c>
      <c r="AG51" s="15">
        <v>40</v>
      </c>
      <c r="AH51" s="16">
        <f t="shared" si="25"/>
        <v>22</v>
      </c>
    </row>
    <row r="52" spans="1:34" ht="13">
      <c r="A52" s="35" t="s">
        <v>83</v>
      </c>
      <c r="B52" s="37">
        <v>46045</v>
      </c>
      <c r="C52" s="40" t="s">
        <v>165</v>
      </c>
      <c r="D52" s="41" t="s">
        <v>166</v>
      </c>
      <c r="E52" s="42" t="s">
        <v>161</v>
      </c>
      <c r="F52" s="4">
        <v>101</v>
      </c>
      <c r="G52" s="14">
        <f t="shared" si="13"/>
        <v>5310</v>
      </c>
      <c r="H52">
        <f>ROUND(PRODUCT(G52/49),0)</f>
        <v>108</v>
      </c>
      <c r="I52">
        <f>ROUND(PRODUCT(G52/COUNT(F4:F52)),0)</f>
        <v>111</v>
      </c>
      <c r="J52" s="30">
        <v>0.20972222222222223</v>
      </c>
      <c r="K52" s="18">
        <f t="shared" si="14"/>
        <v>12.93125</v>
      </c>
      <c r="L52" s="34">
        <f t="shared" si="15"/>
        <v>20.100000000000001</v>
      </c>
      <c r="M52" s="26">
        <v>51</v>
      </c>
      <c r="N52" s="30">
        <v>0.35416666666666669</v>
      </c>
      <c r="O52" s="18">
        <f t="shared" si="16"/>
        <v>17.520138888888891</v>
      </c>
      <c r="P52" s="34">
        <f t="shared" si="17"/>
        <v>11.9</v>
      </c>
      <c r="Q52" s="18">
        <f t="shared" si="18"/>
        <v>0.14444444444444446</v>
      </c>
      <c r="R52" s="18">
        <f t="shared" si="19"/>
        <v>4.5888888888888895</v>
      </c>
      <c r="S52">
        <v>47</v>
      </c>
      <c r="T52">
        <v>77</v>
      </c>
      <c r="U52" s="15">
        <f t="shared" si="20"/>
        <v>30</v>
      </c>
      <c r="V52">
        <v>885</v>
      </c>
      <c r="W52" s="15">
        <f t="shared" si="21"/>
        <v>40792</v>
      </c>
      <c r="X52">
        <f t="shared" si="22"/>
        <v>855</v>
      </c>
      <c r="Y52" s="15">
        <f t="shared" si="23"/>
        <v>43718</v>
      </c>
      <c r="Z52" s="15">
        <f t="shared" si="24"/>
        <v>30</v>
      </c>
      <c r="AA52">
        <v>100</v>
      </c>
      <c r="AB52">
        <v>3</v>
      </c>
      <c r="AC52" s="47">
        <v>13</v>
      </c>
      <c r="AE52" s="15"/>
      <c r="AF52" s="15">
        <v>26</v>
      </c>
      <c r="AG52" s="15">
        <v>33</v>
      </c>
      <c r="AH52" s="16">
        <f t="shared" si="25"/>
        <v>7</v>
      </c>
    </row>
    <row r="53" spans="1:34" ht="13">
      <c r="A53" s="23" t="s">
        <v>6</v>
      </c>
      <c r="B53" s="43"/>
      <c r="C53" s="44"/>
      <c r="D53" s="44"/>
      <c r="E53" s="45"/>
      <c r="F53" s="27">
        <f>SUM(F4:F52)</f>
        <v>5310</v>
      </c>
      <c r="G53" s="19">
        <f>SUM(G52)</f>
        <v>5310</v>
      </c>
      <c r="H53" s="19">
        <f>SUM(H52)</f>
        <v>108</v>
      </c>
      <c r="I53" s="19">
        <f>SUM(I52)</f>
        <v>111</v>
      </c>
      <c r="J53" s="20">
        <f>SUM(J4:J52)</f>
        <v>12.93125</v>
      </c>
      <c r="K53" s="28">
        <f>F53/SUM(HOUR(J53)+(ROUNDDOWN(J53,0)*24),PRODUCT(MINUTE(J53)/60))</f>
        <v>17.109714838086031</v>
      </c>
      <c r="L53" s="33">
        <f>SUM(L4:L52)/COUNT(F4:F52)</f>
        <v>17.139583333333331</v>
      </c>
      <c r="M53" s="38">
        <f>PRODUCT(SUM(M4:M52),1/COUNT(M4:M52))</f>
        <v>46.954166666666666</v>
      </c>
      <c r="N53" s="20">
        <f>SUM(N4:N52)</f>
        <v>17.520138888888891</v>
      </c>
      <c r="O53" s="28">
        <f>F53/SUM(HOUR(N53)+(ROUNDDOWN(N53,0)*24),PRODUCT(MINUTE(N53)/60))</f>
        <v>12.628324547148123</v>
      </c>
      <c r="P53" s="33">
        <f>SUM(P4:P52)/COUNT(F4:F52)</f>
        <v>12.812500000000002</v>
      </c>
      <c r="Q53" s="20">
        <f>SUM(Q4:Q52)</f>
        <v>4.5888888888888895</v>
      </c>
      <c r="R53" s="19"/>
      <c r="S53" s="19">
        <f>ROUND(SUM(S4:S52)/COUNT(S4:S52),0)</f>
        <v>1091</v>
      </c>
      <c r="T53" s="19">
        <f>ROUND(SUM(T4:T52)/COUNT(T4:T52),0)</f>
        <v>1030</v>
      </c>
      <c r="U53" s="19">
        <f>SUM(U4:U52)</f>
        <v>-2926</v>
      </c>
      <c r="V53" s="19">
        <f>ROUND(SUM(V4:V52)/COUNT(V4:V52),0)</f>
        <v>850</v>
      </c>
      <c r="W53" s="19">
        <f>SUM(W52)</f>
        <v>40792</v>
      </c>
      <c r="X53" s="19">
        <f>ROUND(SUM(X4:X52)/COUNT(V4:V52),0)</f>
        <v>911</v>
      </c>
      <c r="Y53" s="19">
        <f>SUM(Y52)</f>
        <v>43718</v>
      </c>
      <c r="Z53" s="19">
        <f>SUM(Z4:Z52)</f>
        <v>-2926</v>
      </c>
      <c r="AA53" s="19">
        <f>ROUND(SUM(AA4:AA52)/COUNT(AA4:AA52),0)</f>
        <v>1297</v>
      </c>
      <c r="AB53" s="27">
        <f t="shared" ref="AB53:AG53" si="26">SUM(AB4:AB52)/COUNT(AB4:AB52)</f>
        <v>2.1666666666666665</v>
      </c>
      <c r="AC53" s="27">
        <f t="shared" si="26"/>
        <v>10.104166666666666</v>
      </c>
      <c r="AD53" s="27" t="e">
        <f t="shared" si="26"/>
        <v>#DIV/0!</v>
      </c>
      <c r="AE53" s="27" t="e">
        <f t="shared" si="26"/>
        <v>#DIV/0!</v>
      </c>
      <c r="AF53" s="27">
        <f t="shared" si="26"/>
        <v>21.916666666666668</v>
      </c>
      <c r="AG53" s="27">
        <f t="shared" si="26"/>
        <v>32.583333333333336</v>
      </c>
      <c r="AH53" s="27">
        <f>SUM(AH4:AH52)/COUNT(AG4:AG52)</f>
        <v>10.666666666666666</v>
      </c>
    </row>
    <row r="54" spans="1:34" ht="13">
      <c r="W54" s="15"/>
      <c r="Y54" s="15"/>
    </row>
    <row r="55" spans="1:34" ht="13">
      <c r="R55" s="24"/>
      <c r="W55" s="15"/>
      <c r="Y55" s="15"/>
    </row>
    <row r="56" spans="1:34" ht="13">
      <c r="E56" s="32"/>
      <c r="H56" s="31"/>
      <c r="I56" s="31"/>
    </row>
    <row r="57" spans="1:34" ht="13">
      <c r="H57" s="31"/>
      <c r="I57" s="31"/>
    </row>
    <row r="58" spans="1:34" ht="13">
      <c r="I58" s="31"/>
    </row>
  </sheetData>
  <mergeCells count="3">
    <mergeCell ref="A1:F1"/>
    <mergeCell ref="A2:F2"/>
    <mergeCell ref="G1:AH1"/>
  </mergeCells>
  <phoneticPr fontId="0" type="noConversion"/>
  <pageMargins left="0.59055118110236227" right="0.39370078740157483" top="0.98425196850393704" bottom="0.98425196850393704" header="0.51181102362204722" footer="0.51181102362204722"/>
  <pageSetup paperSize="9" scale="93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8784-3F45-41FC-873E-E5C983838DD1}">
  <sheetPr codeName="Tabelle2"/>
  <dimension ref="A1"/>
  <sheetViews>
    <sheetView workbookViewId="0"/>
  </sheetViews>
  <sheetFormatPr baseColWidth="10"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65808-1EFB-4BB2-865D-7D152BF4E903}">
  <sheetPr codeName="Tabelle3"/>
  <dimension ref="A1"/>
  <sheetViews>
    <sheetView workbookViewId="0"/>
  </sheetViews>
  <sheetFormatPr baseColWidth="10"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MSCRM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christoph.gocke</dc:creator>
  <cp:lastModifiedBy>Gocke, Christoph</cp:lastModifiedBy>
  <cp:lastPrinted>2026-01-29T20:07:20Z</cp:lastPrinted>
  <dcterms:created xsi:type="dcterms:W3CDTF">2001-02-09T16:25:48Z</dcterms:created>
  <dcterms:modified xsi:type="dcterms:W3CDTF">2026-01-30T07:07:36Z</dcterms:modified>
</cp:coreProperties>
</file>