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zdfde-my.sharepoint.com/personal/gocke_c_zdf_de/Documents/finished/26_05_30-06_19-leiden/"/>
    </mc:Choice>
  </mc:AlternateContent>
  <xr:revisionPtr revIDLastSave="231" documentId="8_{E7B0631B-FCD7-4FCF-8BFB-87F3710A6019}" xr6:coauthVersionLast="47" xr6:coauthVersionMax="47" xr10:uidLastSave="{86886AA6-30C1-49BB-87AF-987C2257224E}"/>
  <bookViews>
    <workbookView xWindow="-120" yWindow="-120" windowWidth="24240" windowHeight="13290" xr2:uid="{C7208094-2DEA-4550-BD03-3EA684C1C903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7" i="1" l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Q27" i="1"/>
  <c r="P27" i="1"/>
  <c r="N27" i="1"/>
  <c r="O27" i="1" s="1"/>
  <c r="M27" i="1"/>
  <c r="L27" i="1"/>
  <c r="J27" i="1"/>
  <c r="K27" i="1" s="1"/>
  <c r="I27" i="1"/>
  <c r="H27" i="1"/>
  <c r="G27" i="1"/>
  <c r="F27" i="1" l="1"/>
  <c r="P6" i="1"/>
  <c r="P7" i="1"/>
  <c r="L8" i="1"/>
  <c r="P10" i="1"/>
  <c r="P11" i="1"/>
  <c r="X26" i="1"/>
  <c r="Z26" i="1" s="1"/>
  <c r="U26" i="1"/>
  <c r="Q26" i="1"/>
  <c r="P26" i="1"/>
  <c r="L26" i="1"/>
  <c r="X25" i="1"/>
  <c r="Z25" i="1" s="1"/>
  <c r="U25" i="1"/>
  <c r="Q25" i="1"/>
  <c r="P25" i="1"/>
  <c r="L25" i="1"/>
  <c r="X24" i="1"/>
  <c r="Z24" i="1"/>
  <c r="U24" i="1"/>
  <c r="Q24" i="1"/>
  <c r="P24" i="1"/>
  <c r="L24" i="1"/>
  <c r="X23" i="1"/>
  <c r="Z23" i="1" s="1"/>
  <c r="U23" i="1"/>
  <c r="Q23" i="1"/>
  <c r="P23" i="1"/>
  <c r="L23" i="1"/>
  <c r="X22" i="1"/>
  <c r="Z22" i="1" s="1"/>
  <c r="U22" i="1"/>
  <c r="Q22" i="1"/>
  <c r="P22" i="1"/>
  <c r="L22" i="1"/>
  <c r="X21" i="1"/>
  <c r="Z21" i="1"/>
  <c r="U21" i="1"/>
  <c r="Q21" i="1"/>
  <c r="P21" i="1"/>
  <c r="L21" i="1"/>
  <c r="X20" i="1"/>
  <c r="Z20" i="1" s="1"/>
  <c r="U20" i="1"/>
  <c r="Q20" i="1"/>
  <c r="P20" i="1"/>
  <c r="L20" i="1"/>
  <c r="X19" i="1"/>
  <c r="Z19" i="1" s="1"/>
  <c r="U19" i="1"/>
  <c r="Q19" i="1"/>
  <c r="P19" i="1"/>
  <c r="L19" i="1"/>
  <c r="X18" i="1"/>
  <c r="Z18" i="1" s="1"/>
  <c r="U18" i="1"/>
  <c r="Q18" i="1"/>
  <c r="P18" i="1"/>
  <c r="L18" i="1"/>
  <c r="X17" i="1"/>
  <c r="Z17" i="1"/>
  <c r="U17" i="1"/>
  <c r="Q17" i="1"/>
  <c r="P17" i="1"/>
  <c r="L17" i="1"/>
  <c r="X16" i="1"/>
  <c r="Z16" i="1" s="1"/>
  <c r="U16" i="1"/>
  <c r="Q16" i="1"/>
  <c r="P16" i="1"/>
  <c r="L16" i="1"/>
  <c r="X15" i="1"/>
  <c r="Z15" i="1"/>
  <c r="U15" i="1"/>
  <c r="Q15" i="1"/>
  <c r="P15" i="1"/>
  <c r="L15" i="1"/>
  <c r="X14" i="1"/>
  <c r="Z14" i="1" s="1"/>
  <c r="U14" i="1"/>
  <c r="Q14" i="1"/>
  <c r="P14" i="1"/>
  <c r="L14" i="1"/>
  <c r="X13" i="1"/>
  <c r="Z13" i="1" s="1"/>
  <c r="U13" i="1"/>
  <c r="Q13" i="1"/>
  <c r="P13" i="1"/>
  <c r="L13" i="1"/>
  <c r="X12" i="1"/>
  <c r="Z12" i="1" s="1"/>
  <c r="U12" i="1"/>
  <c r="Q12" i="1"/>
  <c r="P12" i="1"/>
  <c r="L12" i="1"/>
  <c r="X11" i="1"/>
  <c r="Z11" i="1" s="1"/>
  <c r="U11" i="1"/>
  <c r="Q11" i="1"/>
  <c r="X10" i="1"/>
  <c r="Z10" i="1" s="1"/>
  <c r="U10" i="1"/>
  <c r="Q10" i="1"/>
  <c r="X9" i="1"/>
  <c r="Z9" i="1" s="1"/>
  <c r="U9" i="1"/>
  <c r="Q9" i="1"/>
  <c r="P9" i="1"/>
  <c r="L9" i="1"/>
  <c r="X8" i="1"/>
  <c r="Z8" i="1" s="1"/>
  <c r="U8" i="1"/>
  <c r="Q8" i="1"/>
  <c r="P8" i="1"/>
  <c r="X7" i="1"/>
  <c r="Z7" i="1" s="1"/>
  <c r="U7" i="1"/>
  <c r="Q7" i="1"/>
  <c r="X6" i="1"/>
  <c r="Z6" i="1" s="1"/>
  <c r="U6" i="1"/>
  <c r="Q6" i="1"/>
  <c r="X5" i="1"/>
  <c r="Z5" i="1" s="1"/>
  <c r="U5" i="1"/>
  <c r="Q5" i="1"/>
  <c r="P5" i="1"/>
  <c r="L5" i="1"/>
  <c r="X4" i="1"/>
  <c r="Z4" i="1" s="1"/>
  <c r="W4" i="1"/>
  <c r="W5" i="1"/>
  <c r="W6" i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U4" i="1"/>
  <c r="Q4" i="1"/>
  <c r="R4" i="1" s="1"/>
  <c r="P4" i="1"/>
  <c r="O4" i="1"/>
  <c r="O5" i="1"/>
  <c r="O6" i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L4" i="1"/>
  <c r="K4" i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G4" i="1"/>
  <c r="G5" i="1" s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H4" i="1"/>
  <c r="I4" i="1"/>
  <c r="H4" i="1" l="1"/>
  <c r="R5" i="1"/>
  <c r="R6" i="1" s="1"/>
  <c r="Y4" i="1"/>
  <c r="R7" i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L6" i="1"/>
  <c r="L7" i="1"/>
  <c r="L10" i="1"/>
  <c r="L11" i="1"/>
  <c r="Y5" i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H5" i="1"/>
  <c r="G6" i="1"/>
  <c r="I5" i="1"/>
  <c r="H6" i="1" l="1"/>
  <c r="I6" i="1"/>
  <c r="G7" i="1"/>
  <c r="H7" i="1" l="1"/>
  <c r="I7" i="1"/>
  <c r="G8" i="1"/>
  <c r="G9" i="1" l="1"/>
  <c r="I8" i="1"/>
  <c r="H8" i="1"/>
  <c r="H9" i="1" l="1"/>
  <c r="G10" i="1"/>
  <c r="I9" i="1"/>
  <c r="I10" i="1" l="1"/>
  <c r="G11" i="1"/>
  <c r="H10" i="1"/>
  <c r="I11" i="1" l="1"/>
  <c r="G12" i="1"/>
  <c r="H11" i="1"/>
  <c r="H12" i="1" l="1"/>
  <c r="G13" i="1"/>
  <c r="I12" i="1"/>
  <c r="G14" i="1" l="1"/>
  <c r="I13" i="1"/>
  <c r="H13" i="1"/>
  <c r="H14" i="1" l="1"/>
  <c r="I14" i="1"/>
  <c r="G15" i="1"/>
  <c r="H15" i="1" l="1"/>
  <c r="I15" i="1"/>
  <c r="G16" i="1"/>
  <c r="G17" i="1" l="1"/>
  <c r="H16" i="1"/>
  <c r="I16" i="1"/>
  <c r="I17" i="1" l="1"/>
  <c r="H17" i="1"/>
  <c r="G18" i="1"/>
  <c r="G19" i="1" l="1"/>
  <c r="H18" i="1"/>
  <c r="I18" i="1"/>
  <c r="I19" i="1" l="1"/>
  <c r="G20" i="1"/>
  <c r="H19" i="1"/>
  <c r="H20" i="1" l="1"/>
  <c r="I20" i="1"/>
  <c r="G21" i="1"/>
  <c r="H21" i="1" l="1"/>
  <c r="G22" i="1"/>
  <c r="I21" i="1"/>
  <c r="H22" i="1" l="1"/>
  <c r="I22" i="1"/>
  <c r="G23" i="1"/>
  <c r="H23" i="1" l="1"/>
  <c r="I23" i="1"/>
  <c r="G24" i="1"/>
  <c r="G25" i="1" l="1"/>
  <c r="I24" i="1"/>
  <c r="H24" i="1"/>
  <c r="H25" i="1" l="1"/>
  <c r="G26" i="1"/>
  <c r="I25" i="1"/>
  <c r="I26" i="1" l="1"/>
  <c r="H26" i="1"/>
</calcChain>
</file>

<file path=xl/sharedStrings.xml><?xml version="1.0" encoding="utf-8"?>
<sst xmlns="http://schemas.openxmlformats.org/spreadsheetml/2006/main" count="129" uniqueCount="86">
  <si>
    <t>Tag</t>
  </si>
  <si>
    <t>Datum</t>
  </si>
  <si>
    <t>Start</t>
  </si>
  <si>
    <t>Zwischenstationen</t>
  </si>
  <si>
    <t>Ziel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</si>
  <si>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</si>
  <si>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</si>
  <si>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</si>
  <si>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</si>
  <si>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</si>
  <si>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</si>
  <si>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</si>
  <si>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</si>
  <si>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</si>
  <si>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</si>
  <si>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</si>
  <si>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</si>
  <si>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</si>
  <si>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</si>
  <si>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</si>
  <si>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</si>
  <si>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</si>
  <si>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</si>
  <si>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</si>
  <si>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</si>
  <si>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</si>
  <si>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</si>
  <si>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</si>
  <si>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</si>
  <si>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</si>
  <si>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</si>
  <si>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</si>
  <si>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</si>
  <si>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</si>
  <si>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</si>
  <si>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</si>
  <si>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17.</t>
  </si>
  <si>
    <t>18.</t>
  </si>
  <si>
    <t>km/h brutto</t>
  </si>
  <si>
    <t>km/h netto</t>
  </si>
  <si>
    <t>23.</t>
  </si>
  <si>
    <t>Mainz</t>
  </si>
  <si>
    <t>10.</t>
  </si>
  <si>
    <t>14.</t>
  </si>
  <si>
    <t>15.</t>
  </si>
  <si>
    <t>16.</t>
  </si>
  <si>
    <t>19.</t>
  </si>
  <si>
    <t>20.</t>
  </si>
  <si>
    <t>21.</t>
  </si>
  <si>
    <t>22.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</si>
  <si>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</si>
  <si>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</si>
  <si>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</si>
  <si>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</si>
  <si>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</si>
  <si>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</si>
  <si>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</si>
  <si>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</si>
  <si>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</si>
  <si>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Wiesbaden - Gustavsburg</t>
  </si>
  <si>
    <t>Gaulsheim</t>
  </si>
  <si>
    <t>Bingen</t>
  </si>
  <si>
    <t>Oberwesel</t>
  </si>
  <si>
    <t>Heinsberg</t>
  </si>
  <si>
    <t>Grenze DE/NL - Roermond - Venlo</t>
  </si>
  <si>
    <t>Nimwegen</t>
  </si>
  <si>
    <t>Utrecht - Leiden - Katwijk</t>
  </si>
  <si>
    <t>Leiden</t>
  </si>
  <si>
    <t>Katwijk</t>
  </si>
  <si>
    <t xml:space="preserve">Essen </t>
  </si>
  <si>
    <t xml:space="preserve">Zug </t>
  </si>
  <si>
    <t>Essen</t>
  </si>
  <si>
    <t>Hattingen - Bochum</t>
  </si>
  <si>
    <t>Nieder-Olm - Friesenheim - Nierstein</t>
  </si>
  <si>
    <t>Ingelheim - Frei-Weinheim</t>
  </si>
  <si>
    <t>Nieder-Olm - Ingelheim - Frei-Weinheim</t>
  </si>
  <si>
    <r>
      <t>Katwijk - Leiden - 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> - Utrecht - 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>/Grenze NL/DE - Frankfurt</t>
    </r>
  </si>
  <si>
    <t>Ginsheim-Gustavsburg - Nieder-Olm - Ingelheim - Frei-Weinheim</t>
  </si>
  <si>
    <r>
      <t xml:space="preserve">Ingelheim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Oberwesel - Koblenz - </t>
    </r>
    <r>
      <rPr>
        <i/>
        <sz val="10"/>
        <rFont val="Arial"/>
        <family val="2"/>
      </rPr>
      <t>Zug</t>
    </r>
  </si>
  <si>
    <r>
      <t xml:space="preserve">Frankfurt - </t>
    </r>
    <r>
      <rPr>
        <i/>
        <sz val="10"/>
        <rFont val="Arial"/>
        <family val="2"/>
      </rPr>
      <t>Zug</t>
    </r>
    <r>
      <rPr>
        <sz val="10"/>
        <rFont val="Arial"/>
        <family val="2"/>
      </rPr>
      <t xml:space="preserve"> - Gustavsburg</t>
    </r>
  </si>
  <si>
    <t>Gustavsburg</t>
  </si>
  <si>
    <t>Wattenscheid</t>
  </si>
  <si>
    <t>Essen - Wuppertal - Opladen - Köln - Bonn  - Koblenz - Zug</t>
  </si>
  <si>
    <t>Mönchengladach - Neuss - Düsseldorf - Essen</t>
  </si>
  <si>
    <t>Mainz - Essen - Leiden (30.5.-21.6.2026)</t>
  </si>
  <si>
    <r>
      <t>Statistik</t>
    </r>
    <r>
      <rPr>
        <b/>
        <sz val="20"/>
        <rFont val="Arial"/>
        <family val="2"/>
      </rPr>
      <t xml:space="preserve"> Mainz - Essen - Leiden (30.5.-21.6.2026)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</si>
</sst>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h]:mm"/>
    <numFmt numFmtId="165" formatCode="0.0"/>
  </numFmts>
  <fonts count="13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4422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21" fontId="5" fillId="0" borderId="0" xfId="0" applyNumberFormat="1" applyFont="1" applyAlignment="1">
      <alignment vertical="top" wrapText="1"/>
    </xf>
    <xf numFmtId="0" fontId="0" fillId="0" borderId="2" xfId="0" applyBorder="1"/>
    <xf numFmtId="0" fontId="8" fillId="0" borderId="3" xfId="0" applyFont="1" applyBorder="1"/>
    <xf numFmtId="0" fontId="0" fillId="0" borderId="4" xfId="0" applyBorder="1"/>
    <xf numFmtId="0" fontId="8" fillId="0" borderId="0" xfId="0" applyFont="1"/>
    <xf numFmtId="0" fontId="8" fillId="0" borderId="5" xfId="0" applyFont="1" applyBorder="1"/>
    <xf numFmtId="164" fontId="8" fillId="0" borderId="0" xfId="0" applyNumberFormat="1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/>
    <xf numFmtId="165" fontId="0" fillId="0" borderId="0" xfId="0" applyNumberFormat="1"/>
    <xf numFmtId="1" fontId="1" fillId="0" borderId="1" xfId="0" applyNumberFormat="1" applyFont="1" applyBorder="1"/>
    <xf numFmtId="165" fontId="1" fillId="0" borderId="1" xfId="0" applyNumberFormat="1" applyFont="1" applyBorder="1"/>
    <xf numFmtId="164" fontId="0" fillId="0" borderId="0" xfId="0" applyNumberFormat="1"/>
    <xf numFmtId="165" fontId="1" fillId="0" borderId="0" xfId="0" applyNumberFormat="1" applyFont="1"/>
    <xf numFmtId="1" fontId="0" fillId="0" borderId="0" xfId="0" applyNumberFormat="1"/>
    <xf numFmtId="165" fontId="4" fillId="0" borderId="1" xfId="0" applyNumberFormat="1" applyFont="1" applyBorder="1"/>
    <xf numFmtId="165" fontId="8" fillId="0" borderId="0" xfId="0" applyNumberFormat="1" applyFont="1"/>
    <xf numFmtId="14" fontId="4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center" wrapText="1"/>
    </xf>
    <xf numFmtId="164" fontId="4" fillId="0" borderId="0" xfId="0" applyNumberFormat="1" applyFont="1"/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 applyAlignment="1">
      <alignment horizontal="right"/>
    </xf>
    <xf numFmtId="0" fontId="2" fillId="0" borderId="0" xfId="0" applyFont="1"/>
    <xf numFmtId="14" fontId="8" fillId="0" borderId="0" xfId="0" applyNumberFormat="1" applyFont="1"/>
    <xf numFmtId="14" fontId="4" fillId="0" borderId="1" xfId="0" applyNumberFormat="1" applyFont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0" fillId="0" borderId="7" xfId="0" applyBorder="1"/>
    <xf numFmtId="0" fontId="9" fillId="0" borderId="6" xfId="0" applyFont="1" applyBorder="1"/>
    <xf numFmtId="0" fontId="3" fillId="0" borderId="7" xfId="0" applyFont="1" applyBorder="1"/>
    <xf numFmtId="0" fontId="3" fillId="0" borderId="8" xfId="0" applyFont="1" applyBorder="1"/>
    <xf numFmtId="14" fontId="4" fillId="0" borderId="6" xfId="0" applyNumberFormat="1" applyFont="1" applyBorder="1" applyAlignment="1">
      <alignment horizontal="center" vertical="top"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2">
    <cellStyle name="Standard" xfId="0" builtinId="0"/>
    <cellStyle name="Standard 2" xfId="1" xr:uid="{A787DAEE-B016-4E48-AAC7-55022C9F7CCC}"/>
  </cellStyles>
  <dxfs count="0"/>
  <tableStyles count="1" defaultTableStyle="TableStyleMedium2" defaultPivotStyle="PivotStyleLight16">
    <tableStyle name="Invisible" pivot="0" table="0" count="0" xr9:uid="{5766116A-4627-411F-B614-9160A76A344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54AAF-85A2-4340-8250-864D871F0627}">
  <sheetPr codeName="Tabelle1"/>
  <dimension ref="A1:AH59"/>
  <sheetViews>
    <sheetView tabSelected="1" topLeftCell="E1" zoomScaleNormal="100" workbookViewId="0">
      <selection activeCell="AD27" sqref="AD27"/>
    </sheetView>
  </sheetViews>
  <sheetFormatPr baseColWidth="10" defaultRowHeight="12.75"/>
  <cols>
    <col min="1" max="1" width="11.140625" customWidth="1"/>
    <col min="2" max="2" width="15.140625" customWidth="1"/>
    <col min="3" max="3" width="23.85546875" customWidth="1"/>
    <col min="4" max="4" width="60.140625" customWidth="1"/>
    <col min="5" max="5" width="24.42578125" customWidth="1"/>
    <col min="6" max="7" width="6.42578125" customWidth="1"/>
    <col min="8" max="8" width="4.140625" customWidth="1"/>
    <col min="9" max="9" width="3.85546875" customWidth="1"/>
    <col min="10" max="10" width="6.5703125" customWidth="1"/>
    <col min="11" max="11" width="6.85546875" customWidth="1"/>
    <col min="12" max="12" width="5.5703125" customWidth="1"/>
    <col min="13" max="13" width="5.42578125" customWidth="1"/>
    <col min="14" max="14" width="6.5703125" customWidth="1"/>
    <col min="15" max="16" width="6.85546875" customWidth="1"/>
    <col min="17" max="17" width="6.5703125" customWidth="1"/>
    <col min="18" max="18" width="7.140625" customWidth="1"/>
    <col min="19" max="20" width="6.140625" customWidth="1"/>
    <col min="21" max="21" width="5.5703125" customWidth="1"/>
    <col min="22" max="22" width="4.85546875" customWidth="1"/>
    <col min="23" max="23" width="6.140625" customWidth="1"/>
    <col min="24" max="24" width="5.85546875" customWidth="1"/>
    <col min="25" max="25" width="6.140625" customWidth="1"/>
    <col min="26" max="26" width="5.85546875" customWidth="1"/>
    <col min="27" max="27" width="6.42578125" customWidth="1"/>
    <col min="28" max="28" width="2.85546875" customWidth="1"/>
    <col min="29" max="29" width="4" customWidth="1"/>
    <col min="30" max="30" width="3.42578125" customWidth="1"/>
    <col min="31" max="33" width="3.140625" customWidth="1"/>
    <col min="34" max="34" width="3.5703125" customWidth="1"/>
  </cols>
  <sheetData>
    <row r="1" spans="1:34" ht="26.25" customHeight="1">
      <c r="A1" s="48" t="s">
        <v>84</v>
      </c>
      <c r="B1" s="49"/>
      <c r="C1" s="49"/>
      <c r="D1" s="49"/>
      <c r="E1" s="49"/>
      <c r="F1" s="50"/>
      <c r="G1" s="52" t="s">
        <v>85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4"/>
    </row>
    <row r="2" spans="1:34">
      <c r="A2" s="51"/>
      <c r="B2" s="51"/>
      <c r="C2" s="51"/>
      <c r="D2" s="51"/>
      <c r="E2" s="51"/>
      <c r="F2" s="51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8"/>
      <c r="S2" s="4"/>
      <c r="T2" s="4"/>
      <c r="U2" s="6"/>
      <c r="V2" s="6"/>
      <c r="W2" s="6"/>
      <c r="X2" s="7"/>
      <c r="Y2" s="6"/>
    </row>
    <row r="3" spans="1:34" ht="72.7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21</v>
      </c>
      <c r="G3" s="17" t="s">
        <v>25</v>
      </c>
      <c r="H3" s="17" t="s">
        <v>22</v>
      </c>
      <c r="I3" s="17" t="s">
        <v>23</v>
      </c>
      <c r="J3" s="17" t="s">
        <v>7</v>
      </c>
      <c r="K3" s="17" t="s">
        <v>31</v>
      </c>
      <c r="L3" s="17" t="s">
        <v>39</v>
      </c>
      <c r="M3" s="17" t="s">
        <v>24</v>
      </c>
      <c r="N3" s="17" t="s">
        <v>13</v>
      </c>
      <c r="O3" s="17" t="s">
        <v>32</v>
      </c>
      <c r="P3" s="17" t="s">
        <v>38</v>
      </c>
      <c r="Q3" s="17" t="s">
        <v>14</v>
      </c>
      <c r="R3" s="17" t="s">
        <v>33</v>
      </c>
      <c r="S3" s="17" t="s">
        <v>8</v>
      </c>
      <c r="T3" s="17" t="s">
        <v>9</v>
      </c>
      <c r="U3" s="17" t="s">
        <v>30</v>
      </c>
      <c r="V3" s="17" t="s">
        <v>11</v>
      </c>
      <c r="W3" s="17" t="s">
        <v>26</v>
      </c>
      <c r="X3" s="17" t="s">
        <v>12</v>
      </c>
      <c r="Y3" s="17" t="s">
        <v>28</v>
      </c>
      <c r="Z3" s="17" t="s">
        <v>29</v>
      </c>
      <c r="AA3" s="17" t="s">
        <v>10</v>
      </c>
      <c r="AB3" s="18" t="s">
        <v>17</v>
      </c>
      <c r="AC3" s="18" t="s">
        <v>18</v>
      </c>
      <c r="AD3" s="18" t="s">
        <v>19</v>
      </c>
      <c r="AE3" s="18" t="s">
        <v>20</v>
      </c>
      <c r="AF3" s="18" t="s">
        <v>16</v>
      </c>
      <c r="AG3" s="18" t="s">
        <v>15</v>
      </c>
      <c r="AH3" s="18" t="s">
        <v>27</v>
      </c>
    </row>
    <row r="4" spans="1:34">
      <c r="A4" s="39" t="s">
        <v>50</v>
      </c>
      <c r="B4" s="36">
        <v>46172</v>
      </c>
      <c r="C4" s="44" t="s">
        <v>41</v>
      </c>
      <c r="D4" s="36" t="s">
        <v>59</v>
      </c>
      <c r="E4" s="45" t="s">
        <v>41</v>
      </c>
      <c r="F4" s="46">
        <v>53</v>
      </c>
      <c r="G4" s="11">
        <f t="shared" ref="G4:G18" si="0">SUM(G3,F4)</f>
        <v>53</v>
      </c>
      <c r="H4" s="9">
        <f>ROUND(PRODUCT(G4/1),0)</f>
        <v>53</v>
      </c>
      <c r="I4" s="9">
        <f>ROUND(PRODUCT(G4/COUNT(F4:F4)),0)</f>
        <v>53</v>
      </c>
      <c r="J4" s="25">
        <v>0.125</v>
      </c>
      <c r="K4" s="14">
        <f t="shared" ref="K4:K18" si="1">SUM(J4,K3)</f>
        <v>0.125</v>
      </c>
      <c r="L4" s="29">
        <f t="shared" ref="L4:L19" si="2">IF(F4=0,0,ROUND(PRODUCT(F4/SUM(HOUR(J4),PRODUCT(MINUTE(J4)/60))),1))</f>
        <v>17.7</v>
      </c>
      <c r="M4" s="22"/>
      <c r="N4" s="25"/>
      <c r="O4" s="14">
        <f t="shared" ref="O4:O18" si="3">SUM(N4,O3)</f>
        <v>0</v>
      </c>
      <c r="P4" s="29" t="e">
        <f t="shared" ref="P4:P19" si="4">IF(F4=0,0,ROUND(PRODUCT(F4/SUM(HOUR(N4),PRODUCT(MINUTE(N4)/60))),1))</f>
        <v>#DIV/0!</v>
      </c>
      <c r="Q4" s="14">
        <f t="shared" ref="Q4:Q19" si="5">SUM(N4,-J4)</f>
        <v>-0.125</v>
      </c>
      <c r="R4" s="14">
        <f t="shared" ref="R4:R18" si="6">SUM(Q4,R3)</f>
        <v>-0.125</v>
      </c>
      <c r="S4">
        <v>120</v>
      </c>
      <c r="T4">
        <v>120</v>
      </c>
      <c r="U4" s="12">
        <f t="shared" ref="U4:U18" si="7">SUM(-S4,T4)</f>
        <v>0</v>
      </c>
      <c r="V4">
        <v>164</v>
      </c>
      <c r="W4" s="12">
        <f t="shared" ref="W4:W18" si="8">SUM(W3,V4)</f>
        <v>164</v>
      </c>
      <c r="X4">
        <f t="shared" ref="X4:X19" si="9">SUM(S4,-T4,V4)</f>
        <v>164</v>
      </c>
      <c r="Y4" s="12">
        <f t="shared" ref="Y4:Y18" si="10">SUM(Y3,X4)</f>
        <v>164</v>
      </c>
      <c r="Z4" s="12">
        <f t="shared" ref="Z4:Z19" si="11">SUM(V4,-X4)</f>
        <v>0</v>
      </c>
      <c r="AA4">
        <v>120</v>
      </c>
      <c r="AB4" s="9"/>
      <c r="AC4" s="9"/>
      <c r="AD4" s="9"/>
      <c r="AE4" s="9"/>
      <c r="AF4" s="9"/>
      <c r="AG4" s="9"/>
      <c r="AH4" s="10">
        <f>SUM(AG4,-AF4)</f>
        <v>0</v>
      </c>
    </row>
    <row r="5" spans="1:34">
      <c r="A5" s="39" t="s">
        <v>51</v>
      </c>
      <c r="B5" s="36">
        <v>46173</v>
      </c>
      <c r="C5" s="44" t="s">
        <v>41</v>
      </c>
      <c r="D5" s="36" t="s">
        <v>60</v>
      </c>
      <c r="E5" s="45" t="s">
        <v>41</v>
      </c>
      <c r="F5" s="46">
        <v>58</v>
      </c>
      <c r="G5" s="11">
        <f t="shared" si="0"/>
        <v>111</v>
      </c>
      <c r="H5">
        <f>ROUND(PRODUCT(G5/2),0)</f>
        <v>56</v>
      </c>
      <c r="I5">
        <f>ROUND(PRODUCT(G5/COUNT(F4:F5)),0)</f>
        <v>56</v>
      </c>
      <c r="J5" s="25">
        <v>0.125</v>
      </c>
      <c r="K5" s="14">
        <f t="shared" si="1"/>
        <v>0.25</v>
      </c>
      <c r="L5" s="29">
        <f t="shared" si="2"/>
        <v>19.3</v>
      </c>
      <c r="M5" s="22"/>
      <c r="N5" s="25"/>
      <c r="O5" s="14">
        <f t="shared" si="3"/>
        <v>0</v>
      </c>
      <c r="P5" s="29" t="e">
        <f t="shared" si="4"/>
        <v>#DIV/0!</v>
      </c>
      <c r="Q5" s="14">
        <f t="shared" si="5"/>
        <v>-0.125</v>
      </c>
      <c r="R5" s="14">
        <f t="shared" si="6"/>
        <v>-0.25</v>
      </c>
      <c r="S5">
        <v>120</v>
      </c>
      <c r="T5">
        <v>120</v>
      </c>
      <c r="U5" s="12">
        <f t="shared" si="7"/>
        <v>0</v>
      </c>
      <c r="V5">
        <v>250</v>
      </c>
      <c r="W5" s="12">
        <f t="shared" si="8"/>
        <v>414</v>
      </c>
      <c r="X5">
        <f t="shared" si="9"/>
        <v>250</v>
      </c>
      <c r="Y5" s="12">
        <f t="shared" si="10"/>
        <v>414</v>
      </c>
      <c r="Z5" s="12">
        <f t="shared" si="11"/>
        <v>0</v>
      </c>
      <c r="AA5">
        <v>125</v>
      </c>
      <c r="AC5" s="12"/>
      <c r="AE5" s="12"/>
      <c r="AF5" s="12"/>
      <c r="AG5" s="12"/>
      <c r="AH5" s="13">
        <f>SUM(AG5,-AF5)</f>
        <v>0</v>
      </c>
    </row>
    <row r="6" spans="1:34">
      <c r="A6" s="39" t="s">
        <v>52</v>
      </c>
      <c r="B6" s="36">
        <v>46174</v>
      </c>
      <c r="C6" s="44" t="s">
        <v>41</v>
      </c>
      <c r="D6" s="34" t="s">
        <v>74</v>
      </c>
      <c r="E6" s="45" t="s">
        <v>41</v>
      </c>
      <c r="F6" s="46">
        <v>61</v>
      </c>
      <c r="G6" s="11">
        <f t="shared" si="0"/>
        <v>172</v>
      </c>
      <c r="H6">
        <f>ROUND(PRODUCT(G6/3),0)</f>
        <v>57</v>
      </c>
      <c r="I6">
        <f>ROUND(PRODUCT(G6/COUNT(F4:F6)),0)</f>
        <v>57</v>
      </c>
      <c r="J6" s="25">
        <v>0.14583333333333334</v>
      </c>
      <c r="K6" s="14">
        <f t="shared" si="1"/>
        <v>0.39583333333333337</v>
      </c>
      <c r="L6" s="29">
        <f t="shared" si="2"/>
        <v>17.399999999999999</v>
      </c>
      <c r="M6" s="22"/>
      <c r="N6" s="25"/>
      <c r="O6" s="14">
        <f t="shared" si="3"/>
        <v>0</v>
      </c>
      <c r="P6" s="29" t="e">
        <f t="shared" si="4"/>
        <v>#DIV/0!</v>
      </c>
      <c r="Q6" s="14">
        <f t="shared" si="5"/>
        <v>-0.14583333333333334</v>
      </c>
      <c r="R6" s="14">
        <f t="shared" si="6"/>
        <v>-0.39583333333333337</v>
      </c>
      <c r="S6">
        <v>120</v>
      </c>
      <c r="T6">
        <v>120</v>
      </c>
      <c r="U6" s="12">
        <f t="shared" si="7"/>
        <v>0</v>
      </c>
      <c r="V6">
        <v>350</v>
      </c>
      <c r="W6" s="12">
        <f t="shared" si="8"/>
        <v>764</v>
      </c>
      <c r="X6">
        <f t="shared" si="9"/>
        <v>350</v>
      </c>
      <c r="Y6" s="12">
        <f t="shared" si="10"/>
        <v>764</v>
      </c>
      <c r="Z6" s="12">
        <f t="shared" si="11"/>
        <v>0</v>
      </c>
      <c r="AA6">
        <v>250</v>
      </c>
      <c r="AC6" s="12"/>
      <c r="AE6" s="12"/>
      <c r="AF6" s="12"/>
      <c r="AG6" s="12"/>
      <c r="AH6" s="13">
        <f t="shared" ref="AH6:AH26" si="12">SUM(AG6,-AF6)</f>
        <v>0</v>
      </c>
    </row>
    <row r="7" spans="1:34">
      <c r="A7" s="39" t="s">
        <v>53</v>
      </c>
      <c r="B7" s="36">
        <v>46175</v>
      </c>
      <c r="C7" s="44" t="s">
        <v>41</v>
      </c>
      <c r="D7" s="36" t="s">
        <v>59</v>
      </c>
      <c r="E7" s="45" t="s">
        <v>41</v>
      </c>
      <c r="F7" s="46">
        <v>53</v>
      </c>
      <c r="G7" s="11">
        <f t="shared" si="0"/>
        <v>225</v>
      </c>
      <c r="H7">
        <f>ROUND(PRODUCT(G7/4),0)</f>
        <v>56</v>
      </c>
      <c r="I7">
        <f>ROUND(PRODUCT(G7/COUNT(F4:F7)),0)</f>
        <v>56</v>
      </c>
      <c r="J7" s="25">
        <v>0.125</v>
      </c>
      <c r="K7" s="14">
        <f t="shared" si="1"/>
        <v>0.52083333333333337</v>
      </c>
      <c r="L7" s="29">
        <f t="shared" si="2"/>
        <v>17.7</v>
      </c>
      <c r="M7" s="22"/>
      <c r="N7" s="25"/>
      <c r="O7" s="14">
        <f t="shared" si="3"/>
        <v>0</v>
      </c>
      <c r="P7" s="29" t="e">
        <f t="shared" si="4"/>
        <v>#DIV/0!</v>
      </c>
      <c r="Q7" s="14">
        <f t="shared" si="5"/>
        <v>-0.125</v>
      </c>
      <c r="R7" s="14">
        <f t="shared" si="6"/>
        <v>-0.52083333333333337</v>
      </c>
      <c r="S7">
        <v>120</v>
      </c>
      <c r="T7">
        <v>120</v>
      </c>
      <c r="U7" s="12">
        <f t="shared" si="7"/>
        <v>0</v>
      </c>
      <c r="V7">
        <v>310</v>
      </c>
      <c r="W7" s="12">
        <f t="shared" si="8"/>
        <v>1074</v>
      </c>
      <c r="X7">
        <f t="shared" si="9"/>
        <v>310</v>
      </c>
      <c r="Y7" s="12">
        <f t="shared" si="10"/>
        <v>1074</v>
      </c>
      <c r="Z7" s="12">
        <f t="shared" si="11"/>
        <v>0</v>
      </c>
      <c r="AA7">
        <v>220</v>
      </c>
      <c r="AC7" s="12"/>
      <c r="AE7" s="12"/>
      <c r="AF7" s="12"/>
      <c r="AG7" s="12"/>
      <c r="AH7" s="13">
        <f t="shared" si="12"/>
        <v>0</v>
      </c>
    </row>
    <row r="8" spans="1:34">
      <c r="A8" s="39" t="s">
        <v>54</v>
      </c>
      <c r="B8" s="36">
        <v>46176</v>
      </c>
      <c r="C8" s="44" t="s">
        <v>41</v>
      </c>
      <c r="D8" s="36" t="s">
        <v>61</v>
      </c>
      <c r="E8" s="45" t="s">
        <v>62</v>
      </c>
      <c r="F8" s="46">
        <v>62</v>
      </c>
      <c r="G8" s="11">
        <f t="shared" si="0"/>
        <v>287</v>
      </c>
      <c r="H8">
        <f>ROUND(PRODUCT(G8/5),0)</f>
        <v>57</v>
      </c>
      <c r="I8">
        <f>ROUND(PRODUCT(G8/COUNT(F4:F8)),0)</f>
        <v>57</v>
      </c>
      <c r="J8" s="25">
        <v>0.13194444444444445</v>
      </c>
      <c r="K8" s="14">
        <f t="shared" si="1"/>
        <v>0.65277777777777779</v>
      </c>
      <c r="L8" s="29">
        <f t="shared" si="2"/>
        <v>19.600000000000001</v>
      </c>
      <c r="M8" s="22"/>
      <c r="N8" s="25"/>
      <c r="O8" s="14">
        <f t="shared" si="3"/>
        <v>0</v>
      </c>
      <c r="P8" s="29" t="e">
        <f t="shared" si="4"/>
        <v>#DIV/0!</v>
      </c>
      <c r="Q8" s="14">
        <f t="shared" si="5"/>
        <v>-0.13194444444444445</v>
      </c>
      <c r="R8" s="14">
        <f t="shared" si="6"/>
        <v>-0.65277777777777779</v>
      </c>
      <c r="S8">
        <v>120</v>
      </c>
      <c r="T8">
        <v>75</v>
      </c>
      <c r="U8" s="12">
        <f t="shared" si="7"/>
        <v>-45</v>
      </c>
      <c r="V8">
        <v>320</v>
      </c>
      <c r="W8" s="12">
        <f t="shared" si="8"/>
        <v>1394</v>
      </c>
      <c r="X8">
        <f t="shared" si="9"/>
        <v>365</v>
      </c>
      <c r="Y8" s="12">
        <f t="shared" si="10"/>
        <v>1439</v>
      </c>
      <c r="Z8" s="12">
        <f t="shared" si="11"/>
        <v>-45</v>
      </c>
      <c r="AA8">
        <v>240</v>
      </c>
      <c r="AC8" s="12"/>
      <c r="AE8" s="12"/>
      <c r="AF8" s="12"/>
      <c r="AG8" s="12"/>
      <c r="AH8" s="13">
        <f t="shared" si="12"/>
        <v>0</v>
      </c>
    </row>
    <row r="9" spans="1:34">
      <c r="A9" s="39" t="s">
        <v>55</v>
      </c>
      <c r="B9" s="36">
        <v>46177</v>
      </c>
      <c r="C9" s="44" t="s">
        <v>63</v>
      </c>
      <c r="D9" s="36" t="s">
        <v>64</v>
      </c>
      <c r="E9" s="45" t="s">
        <v>65</v>
      </c>
      <c r="F9" s="46">
        <v>119</v>
      </c>
      <c r="G9" s="11">
        <f t="shared" si="0"/>
        <v>406</v>
      </c>
      <c r="H9">
        <f>ROUND(PRODUCT(G9/6),0)</f>
        <v>68</v>
      </c>
      <c r="I9">
        <f>ROUND(PRODUCT(G9/COUNT(F4:F9)),0)</f>
        <v>68</v>
      </c>
      <c r="J9" s="25">
        <v>0.25</v>
      </c>
      <c r="K9" s="14">
        <f t="shared" si="1"/>
        <v>0.90277777777777779</v>
      </c>
      <c r="L9" s="29">
        <f t="shared" si="2"/>
        <v>19.8</v>
      </c>
      <c r="M9" s="22"/>
      <c r="N9" s="25"/>
      <c r="O9" s="14">
        <f t="shared" si="3"/>
        <v>0</v>
      </c>
      <c r="P9" s="29" t="e">
        <f t="shared" si="4"/>
        <v>#DIV/0!</v>
      </c>
      <c r="Q9" s="14">
        <f t="shared" si="5"/>
        <v>-0.25</v>
      </c>
      <c r="R9" s="14">
        <f t="shared" si="6"/>
        <v>-0.90277777777777779</v>
      </c>
      <c r="S9">
        <v>75</v>
      </c>
      <c r="T9">
        <v>20</v>
      </c>
      <c r="U9" s="12">
        <f t="shared" si="7"/>
        <v>-55</v>
      </c>
      <c r="V9">
        <v>335</v>
      </c>
      <c r="W9" s="12">
        <f t="shared" si="8"/>
        <v>1729</v>
      </c>
      <c r="X9">
        <f t="shared" si="9"/>
        <v>390</v>
      </c>
      <c r="Y9" s="12">
        <f t="shared" si="10"/>
        <v>1829</v>
      </c>
      <c r="Z9" s="12">
        <f t="shared" si="11"/>
        <v>-55</v>
      </c>
      <c r="AA9">
        <v>50</v>
      </c>
      <c r="AC9" s="12"/>
      <c r="AE9" s="12"/>
      <c r="AF9" s="12"/>
      <c r="AG9" s="12"/>
      <c r="AH9" s="13">
        <f t="shared" si="12"/>
        <v>0</v>
      </c>
    </row>
    <row r="10" spans="1:34">
      <c r="A10" s="39" t="s">
        <v>56</v>
      </c>
      <c r="B10" s="36">
        <v>46178</v>
      </c>
      <c r="C10" s="44" t="s">
        <v>65</v>
      </c>
      <c r="D10" s="36" t="s">
        <v>66</v>
      </c>
      <c r="E10" s="45" t="s">
        <v>67</v>
      </c>
      <c r="F10" s="46">
        <v>151</v>
      </c>
      <c r="G10" s="11">
        <f t="shared" si="0"/>
        <v>557</v>
      </c>
      <c r="H10">
        <f>ROUND(PRODUCT(G10/7),0)</f>
        <v>80</v>
      </c>
      <c r="I10">
        <f>ROUND(PRODUCT(G10/COUNT(F4:F10)),0)</f>
        <v>80</v>
      </c>
      <c r="J10" s="25">
        <v>0.375</v>
      </c>
      <c r="K10" s="14">
        <f t="shared" si="1"/>
        <v>1.2777777777777777</v>
      </c>
      <c r="L10" s="29">
        <f t="shared" si="2"/>
        <v>16.8</v>
      </c>
      <c r="M10" s="22"/>
      <c r="N10" s="25"/>
      <c r="O10" s="14">
        <f t="shared" si="3"/>
        <v>0</v>
      </c>
      <c r="P10" s="29" t="e">
        <f t="shared" si="4"/>
        <v>#DIV/0!</v>
      </c>
      <c r="Q10" s="14">
        <f t="shared" si="5"/>
        <v>-0.375</v>
      </c>
      <c r="R10" s="14">
        <f t="shared" si="6"/>
        <v>-1.2777777777777777</v>
      </c>
      <c r="S10">
        <v>20</v>
      </c>
      <c r="T10">
        <v>0</v>
      </c>
      <c r="U10" s="12">
        <f t="shared" si="7"/>
        <v>-20</v>
      </c>
      <c r="V10">
        <v>450</v>
      </c>
      <c r="W10" s="12">
        <f t="shared" si="8"/>
        <v>2179</v>
      </c>
      <c r="X10">
        <f t="shared" si="9"/>
        <v>470</v>
      </c>
      <c r="Y10" s="12">
        <f t="shared" si="10"/>
        <v>2299</v>
      </c>
      <c r="Z10" s="12">
        <f t="shared" si="11"/>
        <v>-20</v>
      </c>
      <c r="AA10">
        <v>20</v>
      </c>
      <c r="AC10" s="12"/>
      <c r="AE10" s="12"/>
      <c r="AF10" s="12"/>
      <c r="AG10" s="12"/>
      <c r="AH10" s="13">
        <f t="shared" si="12"/>
        <v>0</v>
      </c>
    </row>
    <row r="11" spans="1:34">
      <c r="A11" s="39" t="s">
        <v>57</v>
      </c>
      <c r="B11" s="36">
        <v>46179</v>
      </c>
      <c r="C11" s="44" t="s">
        <v>67</v>
      </c>
      <c r="D11" s="36" t="s">
        <v>68</v>
      </c>
      <c r="E11" s="45" t="s">
        <v>67</v>
      </c>
      <c r="F11" s="46">
        <v>32</v>
      </c>
      <c r="G11" s="11">
        <f t="shared" si="0"/>
        <v>589</v>
      </c>
      <c r="H11">
        <f>ROUND(PRODUCT(G11/8),0)</f>
        <v>74</v>
      </c>
      <c r="I11">
        <f>ROUND(PRODUCT(G11/COUNT(F4:F11)),0)</f>
        <v>74</v>
      </c>
      <c r="J11" s="25">
        <v>8.3333333333333329E-2</v>
      </c>
      <c r="K11" s="14">
        <f t="shared" si="1"/>
        <v>1.3611111111111109</v>
      </c>
      <c r="L11" s="29">
        <f t="shared" si="2"/>
        <v>16</v>
      </c>
      <c r="M11" s="22"/>
      <c r="N11" s="25"/>
      <c r="O11" s="14">
        <f t="shared" si="3"/>
        <v>0</v>
      </c>
      <c r="P11" s="29" t="e">
        <f t="shared" si="4"/>
        <v>#DIV/0!</v>
      </c>
      <c r="Q11" s="14">
        <f t="shared" si="5"/>
        <v>-8.3333333333333329E-2</v>
      </c>
      <c r="R11" s="14">
        <f t="shared" si="6"/>
        <v>-1.3611111111111109</v>
      </c>
      <c r="S11">
        <v>0</v>
      </c>
      <c r="T11">
        <v>0</v>
      </c>
      <c r="U11" s="12">
        <f t="shared" si="7"/>
        <v>0</v>
      </c>
      <c r="V11">
        <v>100</v>
      </c>
      <c r="W11" s="12">
        <f t="shared" si="8"/>
        <v>2279</v>
      </c>
      <c r="X11">
        <f t="shared" si="9"/>
        <v>100</v>
      </c>
      <c r="Y11" s="12">
        <f t="shared" si="10"/>
        <v>2399</v>
      </c>
      <c r="Z11" s="12">
        <f t="shared" si="11"/>
        <v>0</v>
      </c>
      <c r="AA11">
        <v>5</v>
      </c>
      <c r="AC11" s="12"/>
      <c r="AE11" s="12"/>
      <c r="AF11" s="12"/>
      <c r="AG11" s="12"/>
      <c r="AH11" s="13">
        <f t="shared" si="12"/>
        <v>0</v>
      </c>
    </row>
    <row r="12" spans="1:34">
      <c r="A12" s="39" t="s">
        <v>58</v>
      </c>
      <c r="B12" s="36">
        <v>46180</v>
      </c>
      <c r="C12" s="44" t="s">
        <v>67</v>
      </c>
      <c r="D12" s="36" t="s">
        <v>76</v>
      </c>
      <c r="E12" s="45" t="s">
        <v>41</v>
      </c>
      <c r="F12" s="46">
        <v>80</v>
      </c>
      <c r="G12" s="11">
        <f t="shared" si="0"/>
        <v>669</v>
      </c>
      <c r="H12">
        <f>ROUND(PRODUCT(G12/9),0)</f>
        <v>74</v>
      </c>
      <c r="I12">
        <f>ROUND(PRODUCT(G12/COUNT(F4:F12)),0)</f>
        <v>74</v>
      </c>
      <c r="J12" s="25">
        <v>0.19444444444444445</v>
      </c>
      <c r="K12" s="14">
        <f t="shared" si="1"/>
        <v>1.5555555555555554</v>
      </c>
      <c r="L12" s="29">
        <f t="shared" si="2"/>
        <v>17.100000000000001</v>
      </c>
      <c r="M12" s="22"/>
      <c r="N12" s="25"/>
      <c r="O12" s="14">
        <f t="shared" si="3"/>
        <v>0</v>
      </c>
      <c r="P12" s="29" t="e">
        <f t="shared" si="4"/>
        <v>#DIV/0!</v>
      </c>
      <c r="Q12" s="14">
        <f t="shared" si="5"/>
        <v>-0.19444444444444445</v>
      </c>
      <c r="R12" s="14">
        <f t="shared" si="6"/>
        <v>-1.5555555555555554</v>
      </c>
      <c r="S12">
        <v>0</v>
      </c>
      <c r="T12">
        <v>120</v>
      </c>
      <c r="U12" s="12">
        <f t="shared" si="7"/>
        <v>120</v>
      </c>
      <c r="V12">
        <v>300</v>
      </c>
      <c r="W12" s="12">
        <f t="shared" si="8"/>
        <v>2579</v>
      </c>
      <c r="X12">
        <f t="shared" si="9"/>
        <v>180</v>
      </c>
      <c r="Y12" s="12">
        <f t="shared" si="10"/>
        <v>2579</v>
      </c>
      <c r="Z12" s="12">
        <f t="shared" si="11"/>
        <v>120</v>
      </c>
      <c r="AA12">
        <v>120</v>
      </c>
      <c r="AC12" s="12"/>
      <c r="AE12" s="12"/>
      <c r="AF12" s="12"/>
      <c r="AG12" s="12"/>
      <c r="AH12" s="13">
        <f t="shared" si="12"/>
        <v>0</v>
      </c>
    </row>
    <row r="13" spans="1:34">
      <c r="A13" s="39" t="s">
        <v>42</v>
      </c>
      <c r="B13" s="36">
        <v>46181</v>
      </c>
      <c r="C13" s="44" t="s">
        <v>41</v>
      </c>
      <c r="D13" s="36" t="s">
        <v>59</v>
      </c>
      <c r="E13" s="45" t="s">
        <v>41</v>
      </c>
      <c r="F13" s="46">
        <v>59</v>
      </c>
      <c r="G13" s="11">
        <f t="shared" si="0"/>
        <v>728</v>
      </c>
      <c r="H13">
        <f>ROUND(PRODUCT(G13/10),0)</f>
        <v>73</v>
      </c>
      <c r="I13">
        <f>ROUND(PRODUCT(G13/COUNT(F4:F13)),0)</f>
        <v>73</v>
      </c>
      <c r="J13" s="25">
        <v>0.14583333333333334</v>
      </c>
      <c r="K13" s="14">
        <f t="shared" si="1"/>
        <v>1.7013888888888886</v>
      </c>
      <c r="L13" s="29">
        <f t="shared" si="2"/>
        <v>16.899999999999999</v>
      </c>
      <c r="M13" s="22"/>
      <c r="N13" s="25"/>
      <c r="O13" s="14">
        <f t="shared" si="3"/>
        <v>0</v>
      </c>
      <c r="P13" s="29" t="e">
        <f t="shared" si="4"/>
        <v>#DIV/0!</v>
      </c>
      <c r="Q13" s="14">
        <f t="shared" si="5"/>
        <v>-0.14583333333333334</v>
      </c>
      <c r="R13" s="14">
        <f t="shared" si="6"/>
        <v>-1.7013888888888886</v>
      </c>
      <c r="S13">
        <v>120</v>
      </c>
      <c r="T13">
        <v>120</v>
      </c>
      <c r="U13" s="12">
        <f t="shared" si="7"/>
        <v>0</v>
      </c>
      <c r="V13">
        <v>350</v>
      </c>
      <c r="W13" s="12">
        <f t="shared" si="8"/>
        <v>2929</v>
      </c>
      <c r="X13">
        <f t="shared" si="9"/>
        <v>350</v>
      </c>
      <c r="Y13" s="12">
        <f t="shared" si="10"/>
        <v>2929</v>
      </c>
      <c r="Z13" s="12">
        <f t="shared" si="11"/>
        <v>0</v>
      </c>
      <c r="AA13">
        <v>220</v>
      </c>
      <c r="AC13" s="12"/>
      <c r="AE13" s="12"/>
      <c r="AF13" s="12"/>
      <c r="AG13" s="12"/>
      <c r="AH13" s="13">
        <f t="shared" si="12"/>
        <v>0</v>
      </c>
    </row>
    <row r="14" spans="1:34">
      <c r="A14" s="39" t="s">
        <v>6</v>
      </c>
      <c r="B14" s="36">
        <v>46182</v>
      </c>
      <c r="C14" s="44" t="s">
        <v>41</v>
      </c>
      <c r="D14" s="36" t="s">
        <v>79</v>
      </c>
      <c r="E14" s="45" t="s">
        <v>41</v>
      </c>
      <c r="F14" s="47">
        <v>87</v>
      </c>
      <c r="G14" s="11">
        <f t="shared" si="0"/>
        <v>815</v>
      </c>
      <c r="H14">
        <f>ROUND(PRODUCT(G14/11),0)</f>
        <v>74</v>
      </c>
      <c r="I14">
        <f>ROUND(PRODUCT(G14/COUNT(F4:F14)),0)</f>
        <v>74</v>
      </c>
      <c r="J14" s="25">
        <v>0.2013888888888889</v>
      </c>
      <c r="K14" s="14">
        <f t="shared" si="1"/>
        <v>1.9027777777777775</v>
      </c>
      <c r="L14" s="29">
        <f t="shared" si="2"/>
        <v>18</v>
      </c>
      <c r="M14" s="22"/>
      <c r="N14" s="25"/>
      <c r="O14" s="14">
        <f t="shared" si="3"/>
        <v>0</v>
      </c>
      <c r="P14" s="29" t="e">
        <f t="shared" si="4"/>
        <v>#DIV/0!</v>
      </c>
      <c r="Q14" s="14">
        <f t="shared" si="5"/>
        <v>-0.2013888888888889</v>
      </c>
      <c r="R14" s="14">
        <f t="shared" si="6"/>
        <v>-1.9027777777777775</v>
      </c>
      <c r="S14">
        <v>120</v>
      </c>
      <c r="T14">
        <v>120</v>
      </c>
      <c r="U14" s="12">
        <f t="shared" si="7"/>
        <v>0</v>
      </c>
      <c r="V14">
        <v>500</v>
      </c>
      <c r="W14" s="12">
        <f t="shared" si="8"/>
        <v>3429</v>
      </c>
      <c r="X14">
        <f t="shared" si="9"/>
        <v>500</v>
      </c>
      <c r="Y14" s="12">
        <f t="shared" si="10"/>
        <v>3429</v>
      </c>
      <c r="Z14" s="12">
        <f t="shared" si="11"/>
        <v>0</v>
      </c>
      <c r="AA14">
        <v>240</v>
      </c>
      <c r="AC14" s="12"/>
      <c r="AE14" s="12"/>
      <c r="AF14" s="12"/>
      <c r="AG14" s="12"/>
      <c r="AH14" s="13">
        <f t="shared" si="12"/>
        <v>0</v>
      </c>
    </row>
    <row r="15" spans="1:34">
      <c r="A15" s="39" t="s">
        <v>34</v>
      </c>
      <c r="B15" s="30">
        <v>46183</v>
      </c>
      <c r="C15" s="37" t="s">
        <v>41</v>
      </c>
      <c r="D15" s="34" t="s">
        <v>75</v>
      </c>
      <c r="E15" s="38" t="s">
        <v>41</v>
      </c>
      <c r="F15" s="47">
        <v>72</v>
      </c>
      <c r="G15" s="11">
        <f t="shared" si="0"/>
        <v>887</v>
      </c>
      <c r="H15">
        <f>ROUND(PRODUCT(G15/12),0)</f>
        <v>74</v>
      </c>
      <c r="I15">
        <f>ROUND(PRODUCT(G15/COUNT(F4:F15)),0)</f>
        <v>74</v>
      </c>
      <c r="J15" s="25">
        <v>0.16666666666666666</v>
      </c>
      <c r="K15" s="14">
        <f t="shared" si="1"/>
        <v>2.0694444444444442</v>
      </c>
      <c r="L15" s="29">
        <f t="shared" si="2"/>
        <v>18</v>
      </c>
      <c r="M15" s="22"/>
      <c r="N15" s="25"/>
      <c r="O15" s="14">
        <f t="shared" si="3"/>
        <v>0</v>
      </c>
      <c r="P15" s="29" t="e">
        <f t="shared" si="4"/>
        <v>#DIV/0!</v>
      </c>
      <c r="Q15" s="14">
        <f t="shared" si="5"/>
        <v>-0.16666666666666666</v>
      </c>
      <c r="R15" s="14">
        <f t="shared" si="6"/>
        <v>-2.0694444444444442</v>
      </c>
      <c r="S15">
        <v>120</v>
      </c>
      <c r="T15">
        <v>120</v>
      </c>
      <c r="U15" s="12">
        <f t="shared" si="7"/>
        <v>0</v>
      </c>
      <c r="V15">
        <v>400</v>
      </c>
      <c r="W15" s="12">
        <f t="shared" si="8"/>
        <v>3829</v>
      </c>
      <c r="X15">
        <f t="shared" si="9"/>
        <v>400</v>
      </c>
      <c r="Y15" s="12">
        <f t="shared" si="10"/>
        <v>3829</v>
      </c>
      <c r="Z15" s="12">
        <f t="shared" si="11"/>
        <v>0</v>
      </c>
      <c r="AA15">
        <v>240</v>
      </c>
      <c r="AC15" s="12"/>
      <c r="AE15" s="12"/>
      <c r="AF15" s="12"/>
      <c r="AG15" s="12"/>
      <c r="AH15" s="13">
        <f t="shared" si="12"/>
        <v>0</v>
      </c>
    </row>
    <row r="16" spans="1:34" ht="12.95" customHeight="1">
      <c r="A16" s="39" t="s">
        <v>35</v>
      </c>
      <c r="B16" s="30">
        <v>46184</v>
      </c>
      <c r="C16" s="37" t="s">
        <v>41</v>
      </c>
      <c r="D16" s="34" t="s">
        <v>73</v>
      </c>
      <c r="E16" s="38" t="s">
        <v>41</v>
      </c>
      <c r="F16" s="47">
        <v>79</v>
      </c>
      <c r="G16" s="11">
        <f t="shared" si="0"/>
        <v>966</v>
      </c>
      <c r="H16">
        <f>ROUND(PRODUCT(G16/13),0)</f>
        <v>74</v>
      </c>
      <c r="I16">
        <f>ROUND(PRODUCT(G16/COUNT(F4:F16)),0)</f>
        <v>74</v>
      </c>
      <c r="J16" s="25">
        <v>0.18055555555555555</v>
      </c>
      <c r="K16" s="14">
        <f t="shared" si="1"/>
        <v>2.2499999999999996</v>
      </c>
      <c r="L16" s="29">
        <f t="shared" si="2"/>
        <v>18.2</v>
      </c>
      <c r="M16" s="22"/>
      <c r="N16" s="25"/>
      <c r="O16" s="14">
        <f t="shared" si="3"/>
        <v>0</v>
      </c>
      <c r="P16" s="29" t="e">
        <f t="shared" si="4"/>
        <v>#DIV/0!</v>
      </c>
      <c r="Q16" s="14">
        <f t="shared" si="5"/>
        <v>-0.18055555555555555</v>
      </c>
      <c r="R16" s="14">
        <f t="shared" si="6"/>
        <v>-2.2499999999999996</v>
      </c>
      <c r="S16">
        <v>120</v>
      </c>
      <c r="T16">
        <v>120</v>
      </c>
      <c r="U16" s="12">
        <f t="shared" si="7"/>
        <v>0</v>
      </c>
      <c r="V16">
        <v>475</v>
      </c>
      <c r="W16" s="12">
        <f t="shared" si="8"/>
        <v>4304</v>
      </c>
      <c r="X16">
        <f t="shared" si="9"/>
        <v>475</v>
      </c>
      <c r="Y16" s="12">
        <f t="shared" si="10"/>
        <v>4304</v>
      </c>
      <c r="Z16" s="12">
        <f t="shared" si="11"/>
        <v>0</v>
      </c>
      <c r="AA16">
        <v>230</v>
      </c>
      <c r="AC16" s="12"/>
      <c r="AE16" s="12"/>
      <c r="AF16" s="12"/>
      <c r="AG16" s="12"/>
      <c r="AH16" s="13">
        <f t="shared" si="12"/>
        <v>0</v>
      </c>
    </row>
    <row r="17" spans="1:34">
      <c r="A17" s="39" t="s">
        <v>43</v>
      </c>
      <c r="B17" s="30">
        <v>46185</v>
      </c>
      <c r="C17" s="37" t="s">
        <v>41</v>
      </c>
      <c r="D17" s="39" t="s">
        <v>78</v>
      </c>
      <c r="E17" s="38" t="s">
        <v>71</v>
      </c>
      <c r="F17" s="47">
        <v>77</v>
      </c>
      <c r="G17" s="11">
        <f t="shared" si="0"/>
        <v>1043</v>
      </c>
      <c r="H17">
        <f>ROUND(PRODUCT(G17/14),0)</f>
        <v>75</v>
      </c>
      <c r="I17">
        <f>ROUND(PRODUCT(G17/COUNT(F4:F17)),0)</f>
        <v>75</v>
      </c>
      <c r="J17" s="32">
        <v>0.17708333333333334</v>
      </c>
      <c r="K17" s="14">
        <f t="shared" si="1"/>
        <v>2.427083333333333</v>
      </c>
      <c r="L17" s="29">
        <f t="shared" si="2"/>
        <v>18.100000000000001</v>
      </c>
      <c r="M17" s="22"/>
      <c r="N17" s="25"/>
      <c r="O17" s="14">
        <f t="shared" si="3"/>
        <v>0</v>
      </c>
      <c r="P17" s="29" t="e">
        <f t="shared" si="4"/>
        <v>#DIV/0!</v>
      </c>
      <c r="Q17" s="14">
        <f t="shared" si="5"/>
        <v>-0.17708333333333334</v>
      </c>
      <c r="R17" s="14">
        <f t="shared" si="6"/>
        <v>-2.427083333333333</v>
      </c>
      <c r="S17">
        <v>120</v>
      </c>
      <c r="T17">
        <v>145</v>
      </c>
      <c r="U17" s="12">
        <f t="shared" si="7"/>
        <v>25</v>
      </c>
      <c r="V17">
        <v>400</v>
      </c>
      <c r="W17" s="12">
        <f t="shared" si="8"/>
        <v>4704</v>
      </c>
      <c r="X17">
        <f t="shared" si="9"/>
        <v>375</v>
      </c>
      <c r="Y17" s="12">
        <f t="shared" si="10"/>
        <v>4679</v>
      </c>
      <c r="Z17" s="12">
        <f t="shared" si="11"/>
        <v>25</v>
      </c>
      <c r="AA17">
        <v>240</v>
      </c>
      <c r="AC17" s="12"/>
      <c r="AE17" s="12"/>
      <c r="AF17" s="12"/>
      <c r="AG17" s="12"/>
      <c r="AH17" s="13">
        <f t="shared" si="12"/>
        <v>0</v>
      </c>
    </row>
    <row r="18" spans="1:34">
      <c r="A18" s="39" t="s">
        <v>44</v>
      </c>
      <c r="B18" s="30">
        <v>46186</v>
      </c>
      <c r="C18" s="37" t="s">
        <v>69</v>
      </c>
      <c r="D18" s="39" t="s">
        <v>72</v>
      </c>
      <c r="E18" s="35" t="s">
        <v>71</v>
      </c>
      <c r="F18" s="47">
        <v>62</v>
      </c>
      <c r="G18" s="11">
        <f t="shared" si="0"/>
        <v>1105</v>
      </c>
      <c r="H18">
        <f>ROUND(PRODUCT(G18/15),0)</f>
        <v>74</v>
      </c>
      <c r="I18">
        <f>ROUND(PRODUCT(G18/COUNT(F4:F18)),0)</f>
        <v>74</v>
      </c>
      <c r="J18" s="25">
        <v>0.16319444444444445</v>
      </c>
      <c r="K18" s="14">
        <f t="shared" si="1"/>
        <v>2.5902777777777777</v>
      </c>
      <c r="L18" s="29">
        <f t="shared" si="2"/>
        <v>15.8</v>
      </c>
      <c r="M18" s="22"/>
      <c r="N18" s="25"/>
      <c r="O18" s="14">
        <f t="shared" si="3"/>
        <v>0</v>
      </c>
      <c r="P18" s="29" t="e">
        <f t="shared" si="4"/>
        <v>#DIV/0!</v>
      </c>
      <c r="Q18" s="14">
        <f t="shared" si="5"/>
        <v>-0.16319444444444445</v>
      </c>
      <c r="R18" s="14">
        <f t="shared" si="6"/>
        <v>-2.5902777777777777</v>
      </c>
      <c r="S18">
        <v>145</v>
      </c>
      <c r="T18">
        <v>145</v>
      </c>
      <c r="U18" s="12">
        <f t="shared" si="7"/>
        <v>0</v>
      </c>
      <c r="V18">
        <v>475</v>
      </c>
      <c r="W18" s="12">
        <f t="shared" si="8"/>
        <v>5179</v>
      </c>
      <c r="X18">
        <f t="shared" si="9"/>
        <v>475</v>
      </c>
      <c r="Y18" s="12">
        <f t="shared" si="10"/>
        <v>5154</v>
      </c>
      <c r="Z18" s="12">
        <f t="shared" si="11"/>
        <v>0</v>
      </c>
      <c r="AA18">
        <v>140</v>
      </c>
      <c r="AC18" s="12"/>
      <c r="AE18" s="12"/>
      <c r="AF18" s="12"/>
      <c r="AG18" s="12"/>
      <c r="AH18" s="13">
        <f t="shared" si="12"/>
        <v>0</v>
      </c>
    </row>
    <row r="19" spans="1:34">
      <c r="A19" s="39" t="s">
        <v>45</v>
      </c>
      <c r="B19" s="36">
        <v>45822</v>
      </c>
      <c r="C19" s="33" t="s">
        <v>69</v>
      </c>
      <c r="D19" s="39" t="s">
        <v>70</v>
      </c>
      <c r="E19" s="35" t="s">
        <v>41</v>
      </c>
      <c r="F19" s="47">
        <v>55</v>
      </c>
      <c r="G19" s="11">
        <f>SUM(G18,F19)</f>
        <v>1160</v>
      </c>
      <c r="H19">
        <f>ROUND(PRODUCT(G19/16),0)</f>
        <v>73</v>
      </c>
      <c r="I19">
        <f>ROUND(PRODUCT(G19/COUNT(F4:F19)),0)</f>
        <v>73</v>
      </c>
      <c r="J19" s="25">
        <v>0.1388888888888889</v>
      </c>
      <c r="K19" s="14">
        <f>SUM(J19,K18)</f>
        <v>2.7291666666666665</v>
      </c>
      <c r="L19" s="29">
        <f t="shared" si="2"/>
        <v>16.5</v>
      </c>
      <c r="M19" s="22"/>
      <c r="N19" s="25"/>
      <c r="O19" s="14">
        <f>SUM(N19,O18)</f>
        <v>0</v>
      </c>
      <c r="P19" s="29" t="e">
        <f t="shared" si="4"/>
        <v>#DIV/0!</v>
      </c>
      <c r="Q19" s="14">
        <f t="shared" si="5"/>
        <v>-0.1388888888888889</v>
      </c>
      <c r="R19" s="14">
        <f>SUM(Q19,R18)</f>
        <v>-2.7291666666666665</v>
      </c>
      <c r="S19">
        <v>145</v>
      </c>
      <c r="T19">
        <v>120</v>
      </c>
      <c r="U19" s="12">
        <f>SUM(-S19,T19)</f>
        <v>-25</v>
      </c>
      <c r="V19">
        <v>360</v>
      </c>
      <c r="W19" s="12">
        <f>SUM(W18,V19)</f>
        <v>5539</v>
      </c>
      <c r="X19">
        <f t="shared" si="9"/>
        <v>385</v>
      </c>
      <c r="Y19" s="12">
        <f>SUM(Y18,X19)</f>
        <v>5539</v>
      </c>
      <c r="Z19" s="12">
        <f t="shared" si="11"/>
        <v>-25</v>
      </c>
      <c r="AA19">
        <v>145</v>
      </c>
      <c r="AC19" s="12"/>
      <c r="AE19" s="12"/>
      <c r="AF19" s="12"/>
      <c r="AG19" s="12"/>
      <c r="AH19" s="13">
        <f t="shared" si="12"/>
        <v>0</v>
      </c>
    </row>
    <row r="20" spans="1:34">
      <c r="A20" s="39" t="s">
        <v>36</v>
      </c>
      <c r="B20" s="36">
        <v>46188</v>
      </c>
      <c r="C20" s="37" t="s">
        <v>41</v>
      </c>
      <c r="D20" s="34" t="s">
        <v>74</v>
      </c>
      <c r="E20" s="38" t="s">
        <v>41</v>
      </c>
      <c r="F20" s="47">
        <v>54</v>
      </c>
      <c r="G20" s="11">
        <f t="shared" ref="G20:G26" si="13">SUM(G19,F20)</f>
        <v>1214</v>
      </c>
      <c r="H20">
        <f>ROUND(PRODUCT(G20/17),0)</f>
        <v>71</v>
      </c>
      <c r="I20">
        <f>ROUND(PRODUCT(G20/COUNT(F4:F20)),0)</f>
        <v>71</v>
      </c>
      <c r="J20" s="25">
        <v>0.13194444444444445</v>
      </c>
      <c r="K20" s="14">
        <f t="shared" ref="K20:K26" si="14">SUM(J20,K19)</f>
        <v>2.8611111111111112</v>
      </c>
      <c r="L20" s="29">
        <f t="shared" ref="L20:L26" si="15">IF(F20=0,0,ROUND(PRODUCT(F20/SUM(HOUR(J20),PRODUCT(MINUTE(J20)/60))),1))</f>
        <v>17.100000000000001</v>
      </c>
      <c r="M20" s="22"/>
      <c r="N20" s="25"/>
      <c r="O20" s="14">
        <f t="shared" ref="O20:O26" si="16">SUM(N20,O19)</f>
        <v>0</v>
      </c>
      <c r="P20" s="29" t="e">
        <f t="shared" ref="P20:P26" si="17">IF(F20=0,0,ROUND(PRODUCT(F20/SUM(HOUR(N20),PRODUCT(MINUTE(N20)/60))),1))</f>
        <v>#DIV/0!</v>
      </c>
      <c r="Q20" s="14">
        <f t="shared" ref="Q20:Q26" si="18">SUM(N20,-J20)</f>
        <v>-0.13194444444444445</v>
      </c>
      <c r="R20" s="14">
        <f t="shared" ref="R20:R26" si="19">SUM(Q20,R19)</f>
        <v>-2.8611111111111112</v>
      </c>
      <c r="S20">
        <v>120</v>
      </c>
      <c r="T20">
        <v>120</v>
      </c>
      <c r="U20" s="12">
        <f t="shared" ref="U20:U26" si="20">SUM(-S20,T20)</f>
        <v>0</v>
      </c>
      <c r="V20">
        <v>300</v>
      </c>
      <c r="W20" s="12">
        <f t="shared" ref="W20:W26" si="21">SUM(W19,V20)</f>
        <v>5839</v>
      </c>
      <c r="X20">
        <f t="shared" ref="X20:X26" si="22">SUM(S20,-T20,V20)</f>
        <v>300</v>
      </c>
      <c r="Y20" s="12">
        <f t="shared" ref="Y20:Y26" si="23">SUM(Y19,X20)</f>
        <v>5839</v>
      </c>
      <c r="Z20" s="12">
        <f t="shared" ref="Z20:Z26" si="24">SUM(V20,-X20)</f>
        <v>0</v>
      </c>
      <c r="AA20">
        <v>240</v>
      </c>
      <c r="AC20" s="12"/>
      <c r="AE20" s="12"/>
      <c r="AF20" s="12"/>
      <c r="AG20" s="12"/>
      <c r="AH20" s="13">
        <f t="shared" si="12"/>
        <v>0</v>
      </c>
    </row>
    <row r="21" spans="1:34">
      <c r="A21" s="39" t="s">
        <v>37</v>
      </c>
      <c r="B21" s="36">
        <v>46189</v>
      </c>
      <c r="C21" s="37" t="s">
        <v>41</v>
      </c>
      <c r="D21" s="34" t="s">
        <v>74</v>
      </c>
      <c r="E21" s="38" t="s">
        <v>41</v>
      </c>
      <c r="F21" s="47">
        <v>65</v>
      </c>
      <c r="G21" s="11">
        <f t="shared" si="13"/>
        <v>1279</v>
      </c>
      <c r="H21">
        <f>ROUND(PRODUCT(G21/18),0)</f>
        <v>71</v>
      </c>
      <c r="I21">
        <f>ROUND(PRODUCT(G21/COUNT(F4:F21)),0)</f>
        <v>71</v>
      </c>
      <c r="J21" s="25">
        <v>0.15277777777777779</v>
      </c>
      <c r="K21" s="14">
        <f t="shared" si="14"/>
        <v>3.0138888888888888</v>
      </c>
      <c r="L21" s="29">
        <f t="shared" si="15"/>
        <v>17.7</v>
      </c>
      <c r="M21" s="22"/>
      <c r="N21" s="25"/>
      <c r="O21" s="14">
        <f t="shared" si="16"/>
        <v>0</v>
      </c>
      <c r="P21" s="29" t="e">
        <f t="shared" si="17"/>
        <v>#DIV/0!</v>
      </c>
      <c r="Q21" s="14">
        <f t="shared" si="18"/>
        <v>-0.15277777777777779</v>
      </c>
      <c r="R21" s="14">
        <f t="shared" si="19"/>
        <v>-3.0138888888888888</v>
      </c>
      <c r="S21">
        <v>120</v>
      </c>
      <c r="T21">
        <v>120</v>
      </c>
      <c r="U21" s="12">
        <f t="shared" si="20"/>
        <v>0</v>
      </c>
      <c r="V21">
        <v>420</v>
      </c>
      <c r="W21" s="12">
        <f t="shared" si="21"/>
        <v>6259</v>
      </c>
      <c r="X21">
        <f t="shared" si="22"/>
        <v>420</v>
      </c>
      <c r="Y21" s="12">
        <f t="shared" si="23"/>
        <v>6259</v>
      </c>
      <c r="Z21" s="12">
        <f t="shared" si="24"/>
        <v>0</v>
      </c>
      <c r="AA21">
        <v>240</v>
      </c>
      <c r="AC21" s="12"/>
      <c r="AE21" s="12"/>
      <c r="AF21" s="12"/>
      <c r="AG21" s="12"/>
      <c r="AH21" s="13">
        <f t="shared" si="12"/>
        <v>0</v>
      </c>
    </row>
    <row r="22" spans="1:34">
      <c r="A22" s="39" t="s">
        <v>46</v>
      </c>
      <c r="B22" s="30">
        <v>46190</v>
      </c>
      <c r="C22" s="37" t="s">
        <v>41</v>
      </c>
      <c r="D22" s="34" t="s">
        <v>75</v>
      </c>
      <c r="E22" s="38" t="s">
        <v>41</v>
      </c>
      <c r="F22" s="47">
        <v>69</v>
      </c>
      <c r="G22" s="11">
        <f t="shared" si="13"/>
        <v>1348</v>
      </c>
      <c r="H22">
        <f>ROUND(PRODUCT(G22/19),0)</f>
        <v>71</v>
      </c>
      <c r="I22">
        <f>ROUND(PRODUCT(G22/COUNT(F4:F22)),0)</f>
        <v>71</v>
      </c>
      <c r="J22" s="32">
        <v>0.15625</v>
      </c>
      <c r="K22" s="14">
        <f t="shared" si="14"/>
        <v>3.1701388888888888</v>
      </c>
      <c r="L22" s="29">
        <f t="shared" si="15"/>
        <v>18.399999999999999</v>
      </c>
      <c r="M22" s="22"/>
      <c r="N22" s="25"/>
      <c r="O22" s="14">
        <f t="shared" si="16"/>
        <v>0</v>
      </c>
      <c r="P22" s="29" t="e">
        <f t="shared" si="17"/>
        <v>#DIV/0!</v>
      </c>
      <c r="Q22" s="14">
        <f t="shared" si="18"/>
        <v>-0.15625</v>
      </c>
      <c r="R22" s="14">
        <f t="shared" si="19"/>
        <v>-3.1701388888888888</v>
      </c>
      <c r="S22">
        <v>120</v>
      </c>
      <c r="T22">
        <v>120</v>
      </c>
      <c r="U22" s="12">
        <f t="shared" si="20"/>
        <v>0</v>
      </c>
      <c r="V22">
        <v>425</v>
      </c>
      <c r="W22" s="12">
        <f t="shared" si="21"/>
        <v>6684</v>
      </c>
      <c r="X22">
        <f t="shared" si="22"/>
        <v>425</v>
      </c>
      <c r="Y22" s="12">
        <f t="shared" si="23"/>
        <v>6684</v>
      </c>
      <c r="Z22" s="12">
        <f t="shared" si="24"/>
        <v>0</v>
      </c>
      <c r="AA22">
        <v>230</v>
      </c>
      <c r="AC22" s="12"/>
      <c r="AE22" s="12"/>
      <c r="AF22" s="12"/>
      <c r="AG22" s="12"/>
      <c r="AH22" s="13">
        <f t="shared" si="12"/>
        <v>0</v>
      </c>
    </row>
    <row r="23" spans="1:34">
      <c r="A23" s="39" t="s">
        <v>47</v>
      </c>
      <c r="B23" s="30">
        <v>46191</v>
      </c>
      <c r="C23" s="37" t="s">
        <v>41</v>
      </c>
      <c r="D23" s="34" t="s">
        <v>77</v>
      </c>
      <c r="E23" s="38" t="s">
        <v>41</v>
      </c>
      <c r="F23" s="47">
        <v>89</v>
      </c>
      <c r="G23" s="11">
        <f t="shared" si="13"/>
        <v>1437</v>
      </c>
      <c r="H23">
        <f>ROUND(PRODUCT(G23/20),0)</f>
        <v>72</v>
      </c>
      <c r="I23">
        <f>ROUND(PRODUCT(G23/COUNT(F4:F23)),0)</f>
        <v>72</v>
      </c>
      <c r="J23" s="25">
        <v>0.18541666666666667</v>
      </c>
      <c r="K23" s="14">
        <f t="shared" si="14"/>
        <v>3.3555555555555556</v>
      </c>
      <c r="L23" s="29">
        <f t="shared" si="15"/>
        <v>20</v>
      </c>
      <c r="M23" s="22"/>
      <c r="N23" s="25"/>
      <c r="O23" s="14">
        <f t="shared" si="16"/>
        <v>0</v>
      </c>
      <c r="P23" s="29" t="e">
        <f t="shared" si="17"/>
        <v>#DIV/0!</v>
      </c>
      <c r="Q23" s="14">
        <f t="shared" si="18"/>
        <v>-0.18541666666666667</v>
      </c>
      <c r="R23" s="14">
        <f t="shared" si="19"/>
        <v>-3.3555555555555556</v>
      </c>
      <c r="S23">
        <v>120</v>
      </c>
      <c r="T23">
        <v>120</v>
      </c>
      <c r="U23" s="12">
        <f t="shared" si="20"/>
        <v>0</v>
      </c>
      <c r="V23">
        <v>200</v>
      </c>
      <c r="W23" s="12">
        <f t="shared" si="21"/>
        <v>6884</v>
      </c>
      <c r="X23">
        <f t="shared" si="22"/>
        <v>200</v>
      </c>
      <c r="Y23" s="12">
        <f t="shared" si="23"/>
        <v>6884</v>
      </c>
      <c r="Z23" s="12">
        <f t="shared" si="24"/>
        <v>0</v>
      </c>
      <c r="AA23">
        <v>230</v>
      </c>
      <c r="AC23" s="12"/>
      <c r="AE23" s="12"/>
      <c r="AF23" s="12"/>
      <c r="AG23" s="12"/>
      <c r="AH23" s="13">
        <f t="shared" si="12"/>
        <v>0</v>
      </c>
    </row>
    <row r="24" spans="1:34">
      <c r="A24" s="39" t="s">
        <v>48</v>
      </c>
      <c r="B24" s="36">
        <v>46192</v>
      </c>
      <c r="C24" s="44" t="s">
        <v>41</v>
      </c>
      <c r="D24" s="36" t="s">
        <v>80</v>
      </c>
      <c r="E24" s="45" t="s">
        <v>41</v>
      </c>
      <c r="F24" s="47">
        <v>30</v>
      </c>
      <c r="G24" s="11">
        <f t="shared" si="13"/>
        <v>1467</v>
      </c>
      <c r="H24">
        <f>ROUND(PRODUCT(G24/21),0)</f>
        <v>70</v>
      </c>
      <c r="I24">
        <f>ROUND(PRODUCT(G24/COUNT(F4:F24)),0)</f>
        <v>70</v>
      </c>
      <c r="J24" s="25">
        <v>7.1527777777777773E-2</v>
      </c>
      <c r="K24" s="14">
        <f t="shared" si="14"/>
        <v>3.4270833333333335</v>
      </c>
      <c r="L24" s="29">
        <f t="shared" si="15"/>
        <v>17.5</v>
      </c>
      <c r="M24" s="22"/>
      <c r="N24" s="25"/>
      <c r="O24" s="14">
        <f t="shared" si="16"/>
        <v>0</v>
      </c>
      <c r="P24" s="29" t="e">
        <f t="shared" si="17"/>
        <v>#DIV/0!</v>
      </c>
      <c r="Q24" s="14">
        <f t="shared" si="18"/>
        <v>-7.1527777777777773E-2</v>
      </c>
      <c r="R24" s="14">
        <f t="shared" si="19"/>
        <v>-3.4270833333333335</v>
      </c>
      <c r="S24">
        <v>120</v>
      </c>
      <c r="T24">
        <v>120</v>
      </c>
      <c r="U24" s="12">
        <f t="shared" si="20"/>
        <v>0</v>
      </c>
      <c r="V24">
        <v>700</v>
      </c>
      <c r="W24" s="12">
        <f t="shared" si="21"/>
        <v>7584</v>
      </c>
      <c r="X24">
        <f t="shared" si="22"/>
        <v>700</v>
      </c>
      <c r="Y24" s="12">
        <f t="shared" si="23"/>
        <v>7584</v>
      </c>
      <c r="Z24" s="12">
        <f t="shared" si="24"/>
        <v>0</v>
      </c>
      <c r="AA24">
        <v>220</v>
      </c>
      <c r="AC24" s="12"/>
      <c r="AE24" s="12"/>
      <c r="AF24" s="12"/>
      <c r="AG24" s="12"/>
      <c r="AH24" s="13">
        <f t="shared" si="12"/>
        <v>0</v>
      </c>
    </row>
    <row r="25" spans="1:34">
      <c r="A25" s="39" t="s">
        <v>49</v>
      </c>
      <c r="B25" s="30">
        <v>46193</v>
      </c>
      <c r="C25" s="33" t="s">
        <v>63</v>
      </c>
      <c r="D25" s="34" t="s">
        <v>83</v>
      </c>
      <c r="E25" s="35" t="s">
        <v>81</v>
      </c>
      <c r="F25" s="47">
        <v>126</v>
      </c>
      <c r="G25" s="11">
        <f t="shared" si="13"/>
        <v>1593</v>
      </c>
      <c r="H25">
        <f>ROUND(PRODUCT(G25/22),0)</f>
        <v>72</v>
      </c>
      <c r="I25">
        <f>ROUND(PRODUCT(G25/COUNT(F4:F25)),0)</f>
        <v>72</v>
      </c>
      <c r="J25" s="25">
        <v>0.27361111111111114</v>
      </c>
      <c r="K25" s="14">
        <f t="shared" si="14"/>
        <v>3.7006944444444447</v>
      </c>
      <c r="L25" s="29">
        <f t="shared" si="15"/>
        <v>19.2</v>
      </c>
      <c r="M25" s="22"/>
      <c r="N25" s="25"/>
      <c r="O25" s="14">
        <f t="shared" si="16"/>
        <v>0</v>
      </c>
      <c r="P25" s="29" t="e">
        <f t="shared" si="17"/>
        <v>#DIV/0!</v>
      </c>
      <c r="Q25" s="14">
        <f t="shared" si="18"/>
        <v>-0.27361111111111114</v>
      </c>
      <c r="R25" s="14">
        <f t="shared" si="19"/>
        <v>-3.7006944444444447</v>
      </c>
      <c r="S25">
        <v>45</v>
      </c>
      <c r="T25">
        <v>85</v>
      </c>
      <c r="U25" s="12">
        <f t="shared" si="20"/>
        <v>40</v>
      </c>
      <c r="V25">
        <v>700</v>
      </c>
      <c r="W25" s="12">
        <f t="shared" si="21"/>
        <v>8284</v>
      </c>
      <c r="X25">
        <f t="shared" si="22"/>
        <v>660</v>
      </c>
      <c r="Y25" s="12">
        <f t="shared" si="23"/>
        <v>8244</v>
      </c>
      <c r="Z25" s="12">
        <f t="shared" si="24"/>
        <v>40</v>
      </c>
      <c r="AA25">
        <v>145</v>
      </c>
      <c r="AC25" s="12"/>
      <c r="AE25" s="12"/>
      <c r="AF25" s="12"/>
      <c r="AG25" s="12"/>
      <c r="AH25" s="13">
        <f t="shared" si="12"/>
        <v>0</v>
      </c>
    </row>
    <row r="26" spans="1:34">
      <c r="A26" s="39" t="s">
        <v>40</v>
      </c>
      <c r="B26" s="30">
        <v>46194</v>
      </c>
      <c r="C26" s="33" t="s">
        <v>81</v>
      </c>
      <c r="D26" s="34" t="s">
        <v>82</v>
      </c>
      <c r="E26" s="35" t="s">
        <v>41</v>
      </c>
      <c r="F26" s="47">
        <v>217</v>
      </c>
      <c r="G26" s="11">
        <f t="shared" si="13"/>
        <v>1810</v>
      </c>
      <c r="H26">
        <f>ROUND(PRODUCT(G26/23),0)</f>
        <v>79</v>
      </c>
      <c r="I26">
        <f>ROUND(PRODUCT(G26/COUNT(F4:F26)),0)</f>
        <v>79</v>
      </c>
      <c r="J26" s="25">
        <v>0.42083333333333334</v>
      </c>
      <c r="K26" s="14">
        <f t="shared" si="14"/>
        <v>4.1215277777777777</v>
      </c>
      <c r="L26" s="29">
        <f t="shared" si="15"/>
        <v>21.5</v>
      </c>
      <c r="M26" s="22"/>
      <c r="N26" s="25"/>
      <c r="O26" s="14">
        <f t="shared" si="16"/>
        <v>0</v>
      </c>
      <c r="P26" s="29" t="e">
        <f t="shared" si="17"/>
        <v>#DIV/0!</v>
      </c>
      <c r="Q26" s="14">
        <f t="shared" si="18"/>
        <v>-0.42083333333333334</v>
      </c>
      <c r="R26" s="14">
        <f t="shared" si="19"/>
        <v>-4.1215277777777777</v>
      </c>
      <c r="S26">
        <v>85</v>
      </c>
      <c r="T26">
        <v>120</v>
      </c>
      <c r="U26" s="12">
        <f t="shared" si="20"/>
        <v>35</v>
      </c>
      <c r="V26">
        <v>1200</v>
      </c>
      <c r="W26" s="12">
        <f t="shared" si="21"/>
        <v>9484</v>
      </c>
      <c r="X26">
        <f t="shared" si="22"/>
        <v>1165</v>
      </c>
      <c r="Y26" s="12">
        <f t="shared" si="23"/>
        <v>9409</v>
      </c>
      <c r="Z26" s="12">
        <f t="shared" si="24"/>
        <v>35</v>
      </c>
      <c r="AA26">
        <v>350</v>
      </c>
      <c r="AC26" s="12"/>
      <c r="AE26" s="12"/>
      <c r="AF26" s="12"/>
      <c r="AG26" s="12"/>
      <c r="AH26" s="13">
        <f t="shared" si="12"/>
        <v>0</v>
      </c>
    </row>
    <row r="27" spans="1:34">
      <c r="A27" s="19" t="s">
        <v>5</v>
      </c>
      <c r="B27" s="55"/>
      <c r="C27" s="56"/>
      <c r="D27" s="56"/>
      <c r="E27" s="57"/>
      <c r="F27" s="20">
        <f>SUM(F4:F26)</f>
        <v>1810</v>
      </c>
      <c r="G27" s="15">
        <f>SUM(G26)</f>
        <v>1810</v>
      </c>
      <c r="H27" s="15">
        <f>SUM(H26)</f>
        <v>79</v>
      </c>
      <c r="I27" s="15">
        <f>SUM(I26)</f>
        <v>79</v>
      </c>
      <c r="J27" s="16">
        <f>SUM(J4:J26)</f>
        <v>4.1215277777777777</v>
      </c>
      <c r="K27" s="24">
        <f>F27/SUM(HOUR(J27)+(ROUNDDOWN(J27,0)*24),PRODUCT(MINUTE(J27)/60))</f>
        <v>18.298230834035383</v>
      </c>
      <c r="L27" s="28">
        <f>SUM(L4:L26)/COUNT(F4:F26)</f>
        <v>18.013043478260869</v>
      </c>
      <c r="M27" s="31" t="e">
        <f>PRODUCT(SUM(M4:M26),1/COUNT(M4:M26))</f>
        <v>#DIV/0!</v>
      </c>
      <c r="N27" s="16">
        <f>SUM(N4:N26)</f>
        <v>0</v>
      </c>
      <c r="O27" s="24" t="e">
        <f>F27/SUM(HOUR(N27)+(ROUNDDOWN(N27,0)*24),PRODUCT(MINUTE(N27)/60))</f>
        <v>#DIV/0!</v>
      </c>
      <c r="P27" s="28" t="e">
        <f>SUM(P4:P26)/COUNT(F4:F26)</f>
        <v>#DIV/0!</v>
      </c>
      <c r="Q27" s="16">
        <f>SUM(Q4:Q26)</f>
        <v>-4.1215277777777777</v>
      </c>
      <c r="R27" s="15"/>
      <c r="S27" s="15">
        <f>ROUND(SUM(S4:S26)/COUNT(S4:S26),0)</f>
        <v>101</v>
      </c>
      <c r="T27" s="15">
        <f>ROUND(SUM(T4:T26)/COUNT(T4:T26),0)</f>
        <v>104</v>
      </c>
      <c r="U27" s="15">
        <f>SUM(U4:U26)</f>
        <v>75</v>
      </c>
      <c r="V27" s="15">
        <f>ROUND(SUM(V4:V26)/COUNT(V4:V26),0)</f>
        <v>412</v>
      </c>
      <c r="W27" s="15">
        <f>SUM(W26)</f>
        <v>9484</v>
      </c>
      <c r="X27" s="15">
        <f>ROUND(SUM(X4:X26)/COUNT(V4:V26),0)</f>
        <v>409</v>
      </c>
      <c r="Y27" s="15">
        <f>SUM(Y26)</f>
        <v>9409</v>
      </c>
      <c r="Z27" s="15">
        <f>SUM(Z4:Z26)</f>
        <v>75</v>
      </c>
      <c r="AA27" s="15">
        <f>ROUND(SUM(AA4:AA26)/COUNT(AA4:AA26),0)</f>
        <v>185</v>
      </c>
      <c r="AB27" s="23" t="e">
        <f t="shared" ref="AB27:AG27" si="25">SUM(AB4:AB26)/COUNT(AB4:AB26)</f>
        <v>#DIV/0!</v>
      </c>
      <c r="AC27" s="23" t="e">
        <f t="shared" si="25"/>
        <v>#DIV/0!</v>
      </c>
      <c r="AD27" s="23" t="e">
        <f t="shared" si="25"/>
        <v>#DIV/0!</v>
      </c>
      <c r="AE27" s="23" t="e">
        <f t="shared" si="25"/>
        <v>#DIV/0!</v>
      </c>
      <c r="AF27" s="23" t="e">
        <f t="shared" si="25"/>
        <v>#DIV/0!</v>
      </c>
      <c r="AG27" s="23" t="e">
        <f t="shared" si="25"/>
        <v>#DIV/0!</v>
      </c>
      <c r="AH27" s="23" t="e">
        <f>SUM(AH4:AH26)/COUNT(AG4:AG26)</f>
        <v>#DIV/0!</v>
      </c>
    </row>
    <row r="28" spans="1:34">
      <c r="E28" s="41"/>
      <c r="F28" s="21"/>
      <c r="G28" s="21"/>
      <c r="I28" s="21"/>
      <c r="J28" s="21"/>
      <c r="K28" s="21"/>
      <c r="W28" s="12"/>
      <c r="Y28" s="12"/>
    </row>
    <row r="29" spans="1:34">
      <c r="B29" s="12"/>
      <c r="C29" s="12"/>
      <c r="D29" s="12"/>
      <c r="E29" s="12"/>
      <c r="F29" s="12"/>
      <c r="I29" s="40"/>
      <c r="J29" s="40"/>
      <c r="R29" s="21"/>
      <c r="W29" s="12"/>
      <c r="Y29" s="12"/>
    </row>
    <row r="30" spans="1:34">
      <c r="B30" s="43"/>
      <c r="C30" s="12"/>
      <c r="D30" s="12"/>
      <c r="E30" s="12"/>
      <c r="F30" s="12"/>
      <c r="N30" s="27"/>
      <c r="Q30" s="26"/>
      <c r="R30" s="26"/>
    </row>
    <row r="31" spans="1:34">
      <c r="B31" s="12"/>
      <c r="C31" s="12"/>
      <c r="D31" s="12"/>
      <c r="E31" s="12"/>
      <c r="F31" s="12"/>
      <c r="Q31" s="26"/>
      <c r="R31" s="26"/>
    </row>
    <row r="32" spans="1:34">
      <c r="B32" s="12"/>
      <c r="C32" s="12"/>
      <c r="D32" s="12"/>
      <c r="E32" s="42"/>
      <c r="F32" s="12"/>
      <c r="R32" s="26"/>
    </row>
    <row r="33" spans="2:8">
      <c r="B33" s="12"/>
      <c r="C33" s="12"/>
      <c r="D33" s="12"/>
      <c r="E33" s="12"/>
      <c r="F33" s="12"/>
    </row>
    <row r="34" spans="2:8">
      <c r="B34" s="12"/>
      <c r="C34" s="12"/>
      <c r="D34" s="12"/>
      <c r="E34" s="42"/>
      <c r="F34" s="12"/>
    </row>
    <row r="35" spans="2:8">
      <c r="B35" s="12"/>
      <c r="C35" s="12"/>
      <c r="D35" s="12"/>
      <c r="F35" s="12"/>
    </row>
    <row r="36" spans="2:8">
      <c r="B36" s="12"/>
      <c r="C36" s="12"/>
      <c r="D36" s="12"/>
      <c r="H36" s="40"/>
    </row>
    <row r="37" spans="2:8">
      <c r="B37" s="40"/>
      <c r="D37" s="40"/>
      <c r="H37" s="40"/>
    </row>
    <row r="38" spans="2:8">
      <c r="B38" s="40"/>
      <c r="C38" s="40"/>
      <c r="D38" s="40"/>
      <c r="H38" s="40"/>
    </row>
    <row r="39" spans="2:8">
      <c r="B39" s="40"/>
      <c r="D39" s="40"/>
      <c r="H39" s="40"/>
    </row>
    <row r="40" spans="2:8">
      <c r="B40" s="40"/>
      <c r="D40" s="40"/>
      <c r="H40" s="40"/>
    </row>
    <row r="41" spans="2:8">
      <c r="B41" s="40"/>
      <c r="D41" s="40"/>
      <c r="H41" s="40"/>
    </row>
    <row r="42" spans="2:8">
      <c r="B42" s="40"/>
      <c r="D42" s="40"/>
      <c r="H42" s="40"/>
    </row>
    <row r="43" spans="2:8">
      <c r="B43" s="40"/>
      <c r="D43" s="40"/>
      <c r="H43" s="40"/>
    </row>
    <row r="44" spans="2:8">
      <c r="B44" s="40"/>
      <c r="D44" s="40"/>
    </row>
    <row r="45" spans="2:8">
      <c r="B45" s="40"/>
      <c r="D45" s="40"/>
      <c r="H45" s="40"/>
    </row>
    <row r="46" spans="2:8">
      <c r="B46" s="40"/>
      <c r="D46" s="40"/>
    </row>
    <row r="48" spans="2:8">
      <c r="B48" s="40"/>
      <c r="D48" s="40"/>
    </row>
    <row r="49" spans="2:4">
      <c r="B49" s="40"/>
      <c r="D49" s="40"/>
    </row>
    <row r="50" spans="2:4">
      <c r="B50" s="40"/>
      <c r="D50" s="40"/>
    </row>
    <row r="51" spans="2:4">
      <c r="B51" s="40"/>
      <c r="D51" s="40"/>
    </row>
    <row r="52" spans="2:4">
      <c r="B52" s="40"/>
      <c r="D52" s="40"/>
    </row>
    <row r="53" spans="2:4">
      <c r="B53" s="40"/>
      <c r="D53" s="40"/>
    </row>
    <row r="54" spans="2:4">
      <c r="B54" s="40"/>
      <c r="D54" s="40"/>
    </row>
    <row r="55" spans="2:4">
      <c r="B55" s="40"/>
      <c r="D55" s="40"/>
    </row>
    <row r="56" spans="2:4">
      <c r="B56" s="40"/>
      <c r="D56" s="40"/>
    </row>
    <row r="57" spans="2:4">
      <c r="B57" s="40"/>
      <c r="D57" s="40"/>
    </row>
    <row r="58" spans="2:4">
      <c r="B58" s="40"/>
      <c r="D58" s="40"/>
    </row>
    <row r="59" spans="2:4">
      <c r="B59" s="40"/>
      <c r="D59" s="40"/>
    </row>
  </sheetData>
  <mergeCells count="4">
    <mergeCell ref="A1:F1"/>
    <mergeCell ref="A2:F2"/>
    <mergeCell ref="G1:AH1"/>
    <mergeCell ref="B27:E2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C0C61-2DF2-4F83-B36B-2801D62D4738}">
  <sheetPr codeName="Tabelle2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9026D-15AA-4870-BC08-D5A1369BCC1B}">
  <sheetPr codeName="Tabelle3"/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2026-06-25T03:35:42Z</dcterms:modified>
</cp:coreProperties>
</file>